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175" tabRatio="620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'B一般'!$A$1:$R$44</definedName>
    <definedName name="_xlnm.Print_Area" localSheetId="8">'B原料'!$A$1:$R$44</definedName>
    <definedName name="_xlnm.Print_Area" localSheetId="6">'B合計'!$A$1:$R$44</definedName>
    <definedName name="_xlnm.Print_Area" localSheetId="4">'P一般'!$A$1:$R$44</definedName>
    <definedName name="_xlnm.Print_Area" localSheetId="5">'P原料'!$A$1:$R$44</definedName>
    <definedName name="_xlnm.Print_Area" localSheetId="3">'P合計'!$A$1:$R$44</definedName>
    <definedName name="_xlnm.Print_Area" localSheetId="1">'一般計'!$A$1:$S$44</definedName>
    <definedName name="_xlnm.Print_Area" localSheetId="9">'液化石油ガス'!$A$1:$R$44</definedName>
    <definedName name="_xlnm.Print_Area" localSheetId="2">'原料計'!$A$1:$R$44</definedName>
    <definedName name="_xlnm.Print_Area" localSheetId="0">'総合計'!$A$1:$R$53</definedName>
  </definedNames>
  <calcPr fullCalcOnLoad="1"/>
</workbook>
</file>

<file path=xl/sharedStrings.xml><?xml version="1.0" encoding="utf-8"?>
<sst xmlns="http://schemas.openxmlformats.org/spreadsheetml/2006/main" count="1133" uniqueCount="98">
  <si>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</si>
  <si>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</si>
  <si>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</si>
  <si>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</si>
  <si>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</si>
  <si>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</si>
  <si>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</si>
  <si>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</si>
  <si>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</si>
  <si>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</si>
  <si>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</si>
  <si>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</si>
  <si>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</si>
  <si>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</si>
  <si>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プロパン</t>
  </si>
  <si>
    <t>NO.1</t>
  </si>
  <si>
    <r>
      <t>4</t>
    </r>
    <r>
      <rPr>
        <sz val="13"/>
        <rFont val="ＭＳ Ｐゴシック"/>
        <family val="3"/>
      </rPr>
      <t>月</t>
    </r>
  </si>
  <si>
    <r>
      <t>5</t>
    </r>
    <r>
      <rPr>
        <sz val="13"/>
        <rFont val="ＭＳ Ｐゴシック"/>
        <family val="3"/>
      </rPr>
      <t>月</t>
    </r>
  </si>
  <si>
    <r>
      <t>6</t>
    </r>
    <r>
      <rPr>
        <sz val="13"/>
        <rFont val="ＭＳ Ｐゴシック"/>
        <family val="3"/>
      </rPr>
      <t>月</t>
    </r>
  </si>
  <si>
    <r>
      <t>7</t>
    </r>
    <r>
      <rPr>
        <sz val="13"/>
        <rFont val="ＭＳ Ｐゴシック"/>
        <family val="3"/>
      </rPr>
      <t>月</t>
    </r>
  </si>
  <si>
    <r>
      <t>8</t>
    </r>
    <r>
      <rPr>
        <sz val="13"/>
        <rFont val="ＭＳ Ｐゴシック"/>
        <family val="3"/>
      </rPr>
      <t>月</t>
    </r>
  </si>
  <si>
    <r>
      <t>9</t>
    </r>
    <r>
      <rPr>
        <sz val="13"/>
        <rFont val="ＭＳ Ｐゴシック"/>
        <family val="3"/>
      </rPr>
      <t>月</t>
    </r>
  </si>
  <si>
    <t>上期</t>
  </si>
  <si>
    <r>
      <t>10</t>
    </r>
    <r>
      <rPr>
        <sz val="13"/>
        <rFont val="ＭＳ Ｐゴシック"/>
        <family val="3"/>
      </rPr>
      <t>月</t>
    </r>
  </si>
  <si>
    <r>
      <t>11</t>
    </r>
    <r>
      <rPr>
        <sz val="13"/>
        <rFont val="ＭＳ Ｐゴシック"/>
        <family val="3"/>
      </rPr>
      <t>月</t>
    </r>
  </si>
  <si>
    <r>
      <t>12</t>
    </r>
    <r>
      <rPr>
        <sz val="13"/>
        <rFont val="ＭＳ Ｐゴシック"/>
        <family val="3"/>
      </rPr>
      <t>月</t>
    </r>
  </si>
  <si>
    <r>
      <t>1</t>
    </r>
    <r>
      <rPr>
        <sz val="13"/>
        <rFont val="ＭＳ Ｐゴシック"/>
        <family val="3"/>
      </rPr>
      <t>月</t>
    </r>
  </si>
  <si>
    <r>
      <t>2</t>
    </r>
    <r>
      <rPr>
        <sz val="13"/>
        <rFont val="ＭＳ Ｐゴシック"/>
        <family val="3"/>
      </rPr>
      <t>月</t>
    </r>
  </si>
  <si>
    <r>
      <t>3</t>
    </r>
    <r>
      <rPr>
        <sz val="13"/>
        <rFont val="ＭＳ Ｐゴシック"/>
        <family val="3"/>
      </rPr>
      <t>月</t>
    </r>
  </si>
  <si>
    <t>下期</t>
  </si>
  <si>
    <t>年度</t>
  </si>
  <si>
    <t>NO.2</t>
  </si>
  <si>
    <t>NO.3</t>
  </si>
  <si>
    <t>NO.4</t>
  </si>
  <si>
    <t>プロパン</t>
  </si>
  <si>
    <t>NO.5</t>
  </si>
  <si>
    <t>NO.7</t>
  </si>
  <si>
    <t>ブタン</t>
  </si>
  <si>
    <t>NO.8</t>
  </si>
  <si>
    <t>NO.9</t>
  </si>
  <si>
    <t>NO.10</t>
  </si>
  <si>
    <t>サウジアラビア</t>
  </si>
  <si>
    <t>CIF</t>
  </si>
  <si>
    <t>クウェート</t>
  </si>
  <si>
    <t>イラン</t>
  </si>
  <si>
    <t>UAE</t>
  </si>
  <si>
    <t>オーストラリア</t>
  </si>
  <si>
    <t>インドネシア</t>
  </si>
  <si>
    <t>アルジェリア</t>
  </si>
  <si>
    <t>マレーシア</t>
  </si>
  <si>
    <t>UAE</t>
  </si>
  <si>
    <t>クウェート</t>
  </si>
  <si>
    <t>イラン</t>
  </si>
  <si>
    <t>オーストラリア</t>
  </si>
  <si>
    <t>インドネシア</t>
  </si>
  <si>
    <t>アルジェリア</t>
  </si>
  <si>
    <t>マレーシア</t>
  </si>
  <si>
    <t>プロパン
or
ブタン</t>
  </si>
  <si>
    <t>液化石油ガス(プロパンorブタン）2711.19-010</t>
  </si>
  <si>
    <t>UAE</t>
  </si>
  <si>
    <t>プロパン</t>
  </si>
  <si>
    <t>原料用</t>
  </si>
  <si>
    <t>2711.12-010</t>
  </si>
  <si>
    <t>4月</t>
  </si>
  <si>
    <t>5月</t>
  </si>
  <si>
    <t>6月</t>
  </si>
  <si>
    <t>7月</t>
  </si>
  <si>
    <t>8月</t>
  </si>
  <si>
    <t>9月</t>
  </si>
  <si>
    <t>上期</t>
  </si>
  <si>
    <t>10月</t>
  </si>
  <si>
    <t>11月</t>
  </si>
  <si>
    <t>12月</t>
  </si>
  <si>
    <t>1月</t>
  </si>
  <si>
    <t>2月</t>
  </si>
  <si>
    <t>3月</t>
  </si>
  <si>
    <t>下期</t>
  </si>
  <si>
    <t>年度</t>
  </si>
  <si>
    <t>サウジアラビア</t>
  </si>
  <si>
    <t>輸入量</t>
  </si>
  <si>
    <t>金額</t>
  </si>
  <si>
    <t>CIF</t>
  </si>
  <si>
    <t>クウェート</t>
  </si>
  <si>
    <t>イラン</t>
  </si>
  <si>
    <t>UAE</t>
  </si>
  <si>
    <t>オーストラリア</t>
  </si>
  <si>
    <t>インドネシア</t>
  </si>
  <si>
    <t>韓国</t>
  </si>
  <si>
    <t>アルジェリア</t>
  </si>
  <si>
    <t>マレーシア</t>
  </si>
  <si>
    <t>その他</t>
  </si>
  <si>
    <t>為替レート（円/＄）</t>
  </si>
  <si>
    <t>2711.12-020</t>
  </si>
  <si>
    <t>(貿易統計）</t>
  </si>
  <si>
    <t>東ティモール</t>
  </si>
  <si>
    <t>カタール</t>
  </si>
  <si>
    <t>カタール</t>
  </si>
  <si>
    <t>※数値はすべて確定値。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</si>
</sst>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</numFmts>
  <fonts count="31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12"/>
      <name val="ＭＳ 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14"/>
      <name val="ＭＳ ゴシック"/>
      <family val="3"/>
    </font>
    <font>
      <sz val="14"/>
      <name val="Arial"/>
      <family val="2"/>
    </font>
    <font>
      <sz val="12"/>
      <name val="ＭＳ Ｐゴシック"/>
      <family val="3"/>
    </font>
    <font>
      <sz val="13"/>
      <name val="Arial"/>
      <family val="2"/>
    </font>
    <font>
      <sz val="13"/>
      <name val="ＭＳ Ｐゴシック"/>
      <family val="3"/>
    </font>
    <font>
      <sz val="9"/>
      <color indexed="16"/>
      <name val="ＭＳ ゴシック"/>
      <family val="3"/>
    </font>
    <font>
      <sz val="10.5"/>
      <color indexed="16"/>
      <name val="ＭＳ ゴシック"/>
      <family val="3"/>
    </font>
    <font>
      <sz val="10.5"/>
      <color indexed="16"/>
      <name val="ＭＳ Ｐゴシック"/>
      <family val="3"/>
    </font>
    <font>
      <sz val="9"/>
      <color indexed="16"/>
      <name val="Arial"/>
      <family val="2"/>
    </font>
    <font>
      <b/>
      <sz val="9"/>
      <color indexed="16"/>
      <name val="ＭＳ ゴシック"/>
      <family val="3"/>
    </font>
    <font>
      <b/>
      <sz val="10.5"/>
      <color indexed="16"/>
      <name val="ＭＳ ゴシック"/>
      <family val="3"/>
    </font>
    <font>
      <b/>
      <sz val="9"/>
      <color indexed="16"/>
      <name val="Arial"/>
      <family val="2"/>
    </font>
    <font>
      <b/>
      <sz val="10"/>
      <color indexed="16"/>
      <name val="Arial"/>
      <family val="2"/>
    </font>
    <font>
      <sz val="20"/>
      <name val="Arial"/>
      <family val="2"/>
    </font>
    <font>
      <sz val="20"/>
      <name val="ＭＳ 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name val="HG丸ｺﾞｼｯｸM-PRO"/>
      <family val="3"/>
    </font>
    <font>
      <sz val="11"/>
      <name val="Arial Narrow"/>
      <family val="2"/>
    </font>
    <font>
      <sz val="20"/>
      <name val="Lucida Console"/>
      <family val="3"/>
    </font>
    <font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8" fillId="0" borderId="1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1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38" fontId="14" fillId="2" borderId="3" xfId="17" applyFont="1" applyFill="1" applyBorder="1" applyAlignment="1" applyProtection="1">
      <alignment horizontal="centerContinuous" vertical="center"/>
      <protection/>
    </xf>
    <xf numFmtId="0" fontId="10" fillId="3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3" fontId="11" fillId="3" borderId="4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/>
    </xf>
    <xf numFmtId="3" fontId="11" fillId="3" borderId="6" xfId="0" applyNumberFormat="1" applyFont="1" applyFill="1" applyBorder="1" applyAlignment="1">
      <alignment horizontal="center" vertical="center"/>
    </xf>
    <xf numFmtId="3" fontId="11" fillId="3" borderId="7" xfId="0" applyNumberFormat="1" applyFont="1" applyFill="1" applyBorder="1" applyAlignment="1">
      <alignment horizontal="center" vertical="center"/>
    </xf>
    <xf numFmtId="3" fontId="12" fillId="3" borderId="8" xfId="0" applyNumberFormat="1" applyFont="1" applyFill="1" applyBorder="1" applyAlignment="1">
      <alignment horizontal="center" vertical="center"/>
    </xf>
    <xf numFmtId="3" fontId="12" fillId="3" borderId="9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/>
    </xf>
    <xf numFmtId="0" fontId="10" fillId="3" borderId="4" xfId="0" applyFont="1" applyFill="1" applyBorder="1" applyAlignment="1">
      <alignment horizontal="center" vertical="center"/>
    </xf>
    <xf numFmtId="0" fontId="0" fillId="3" borderId="7" xfId="0" applyFill="1" applyBorder="1" applyAlignment="1">
      <alignment/>
    </xf>
    <xf numFmtId="38" fontId="14" fillId="2" borderId="2" xfId="17" applyFont="1" applyFill="1" applyBorder="1" applyAlignment="1" applyProtection="1">
      <alignment horizontal="center" vertical="center"/>
      <protection/>
    </xf>
    <xf numFmtId="38" fontId="15" fillId="2" borderId="2" xfId="17" applyFont="1" applyFill="1" applyBorder="1" applyAlignment="1" applyProtection="1">
      <alignment horizontal="center" vertical="center"/>
      <protection/>
    </xf>
    <xf numFmtId="38" fontId="15" fillId="2" borderId="3" xfId="17" applyFont="1" applyFill="1" applyBorder="1" applyAlignment="1" applyProtection="1">
      <alignment horizontal="center" vertical="center"/>
      <protection/>
    </xf>
    <xf numFmtId="38" fontId="15" fillId="2" borderId="10" xfId="17" applyFont="1" applyFill="1" applyBorder="1" applyAlignment="1" applyProtection="1">
      <alignment horizontal="center" vertical="center"/>
      <protection/>
    </xf>
    <xf numFmtId="38" fontId="15" fillId="2" borderId="11" xfId="17" applyFont="1" applyFill="1" applyBorder="1" applyAlignment="1" applyProtection="1">
      <alignment horizontal="center" vertical="center"/>
      <protection/>
    </xf>
    <xf numFmtId="38" fontId="15" fillId="2" borderId="12" xfId="17" applyFont="1" applyFill="1" applyBorder="1" applyAlignment="1" applyProtection="1">
      <alignment horizontal="center" vertical="center"/>
      <protection/>
    </xf>
    <xf numFmtId="0" fontId="0" fillId="3" borderId="9" xfId="0" applyFill="1" applyBorder="1" applyAlignment="1">
      <alignment/>
    </xf>
    <xf numFmtId="3" fontId="11" fillId="3" borderId="13" xfId="0" applyNumberFormat="1" applyFont="1" applyFill="1" applyBorder="1" applyAlignment="1">
      <alignment horizontal="center" vertical="center"/>
    </xf>
    <xf numFmtId="0" fontId="21" fillId="0" borderId="0" xfId="0" applyFont="1" applyAlignment="1" applyProtection="1">
      <alignment vertical="top"/>
      <protection/>
    </xf>
    <xf numFmtId="0" fontId="22" fillId="0" borderId="0" xfId="0" applyFont="1" applyAlignment="1" applyProtection="1">
      <alignment vertical="top"/>
      <protection/>
    </xf>
    <xf numFmtId="14" fontId="0" fillId="0" borderId="1" xfId="0" applyNumberFormat="1" applyBorder="1" applyAlignment="1" applyProtection="1">
      <alignment horizontal="center"/>
      <protection/>
    </xf>
    <xf numFmtId="0" fontId="12" fillId="3" borderId="3" xfId="0" applyFont="1" applyFill="1" applyBorder="1" applyAlignment="1" applyProtection="1">
      <alignment horizontal="center" vertical="center"/>
      <protection/>
    </xf>
    <xf numFmtId="0" fontId="12" fillId="3" borderId="6" xfId="0" applyFont="1" applyFill="1" applyBorder="1" applyAlignment="1" applyProtection="1">
      <alignment horizontal="center" vertical="center"/>
      <protection/>
    </xf>
    <xf numFmtId="0" fontId="12" fillId="3" borderId="1" xfId="0" applyFont="1" applyFill="1" applyBorder="1" applyAlignment="1" applyProtection="1">
      <alignment horizontal="center" vertical="center"/>
      <protection/>
    </xf>
    <xf numFmtId="0" fontId="12" fillId="3" borderId="8" xfId="0" applyFont="1" applyFill="1" applyBorder="1" applyAlignment="1" applyProtection="1">
      <alignment horizontal="center" vertical="center"/>
      <protection/>
    </xf>
    <xf numFmtId="0" fontId="12" fillId="3" borderId="9" xfId="0" applyFont="1" applyFill="1" applyBorder="1" applyAlignment="1" applyProtection="1">
      <alignment horizontal="center" vertical="center"/>
      <protection/>
    </xf>
    <xf numFmtId="37" fontId="0" fillId="0" borderId="2" xfId="0" applyNumberFormat="1" applyBorder="1" applyAlignment="1" applyProtection="1">
      <alignment vertical="center"/>
      <protection/>
    </xf>
    <xf numFmtId="1" fontId="2" fillId="0" borderId="2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1" fontId="0" fillId="0" borderId="2" xfId="0" applyNumberFormat="1" applyBorder="1" applyAlignment="1" applyProtection="1">
      <alignment vertical="center"/>
      <protection/>
    </xf>
    <xf numFmtId="37" fontId="2" fillId="0" borderId="2" xfId="0" applyNumberFormat="1" applyFont="1" applyBorder="1" applyAlignment="1" applyProtection="1">
      <alignment vertical="center"/>
      <protection locked="0"/>
    </xf>
    <xf numFmtId="38" fontId="23" fillId="0" borderId="14" xfId="17" applyFont="1" applyBorder="1" applyAlignment="1" applyProtection="1">
      <alignment vertical="center"/>
      <protection locked="0"/>
    </xf>
    <xf numFmtId="38" fontId="24" fillId="0" borderId="15" xfId="17" applyFont="1" applyBorder="1" applyAlignment="1" applyProtection="1">
      <alignment vertical="center"/>
      <protection/>
    </xf>
    <xf numFmtId="38" fontId="23" fillId="0" borderId="14" xfId="17" applyFont="1" applyBorder="1" applyAlignment="1" applyProtection="1">
      <alignment vertical="center"/>
      <protection/>
    </xf>
    <xf numFmtId="38" fontId="23" fillId="0" borderId="14" xfId="17" applyFont="1" applyBorder="1" applyAlignment="1" applyProtection="1" quotePrefix="1">
      <alignment horizontal="right" vertical="center"/>
      <protection locked="0"/>
    </xf>
    <xf numFmtId="38" fontId="23" fillId="0" borderId="16" xfId="17" applyFont="1" applyBorder="1" applyAlignment="1" applyProtection="1">
      <alignment vertical="center"/>
      <protection locked="0"/>
    </xf>
    <xf numFmtId="38" fontId="23" fillId="0" borderId="17" xfId="17" applyFont="1" applyBorder="1" applyAlignment="1" applyProtection="1">
      <alignment vertical="center"/>
      <protection locked="0"/>
    </xf>
    <xf numFmtId="38" fontId="24" fillId="0" borderId="18" xfId="17" applyFont="1" applyBorder="1" applyAlignment="1" applyProtection="1">
      <alignment vertical="center"/>
      <protection/>
    </xf>
    <xf numFmtId="38" fontId="23" fillId="0" borderId="17" xfId="17" applyFont="1" applyBorder="1" applyAlignment="1" applyProtection="1">
      <alignment vertical="center"/>
      <protection/>
    </xf>
    <xf numFmtId="38" fontId="23" fillId="0" borderId="17" xfId="17" applyFont="1" applyBorder="1" applyAlignment="1" applyProtection="1" quotePrefix="1">
      <alignment horizontal="right" vertical="center"/>
      <protection locked="0"/>
    </xf>
    <xf numFmtId="38" fontId="23" fillId="0" borderId="19" xfId="17" applyFont="1" applyBorder="1" applyAlignment="1" applyProtection="1">
      <alignment vertical="center"/>
      <protection locked="0"/>
    </xf>
    <xf numFmtId="38" fontId="24" fillId="0" borderId="20" xfId="17" applyFont="1" applyBorder="1" applyAlignment="1" applyProtection="1">
      <alignment vertical="center"/>
      <protection/>
    </xf>
    <xf numFmtId="38" fontId="23" fillId="0" borderId="19" xfId="17" applyFont="1" applyBorder="1" applyAlignment="1" applyProtection="1">
      <alignment vertical="center"/>
      <protection/>
    </xf>
    <xf numFmtId="38" fontId="23" fillId="0" borderId="19" xfId="17" applyFont="1" applyBorder="1" applyAlignment="1" applyProtection="1" quotePrefix="1">
      <alignment horizontal="right" vertical="center"/>
      <protection locked="0"/>
    </xf>
    <xf numFmtId="38" fontId="23" fillId="0" borderId="21" xfId="17" applyFont="1" applyBorder="1" applyAlignment="1" applyProtection="1">
      <alignment vertical="center"/>
      <protection locked="0"/>
    </xf>
    <xf numFmtId="38" fontId="24" fillId="0" borderId="22" xfId="17" applyFont="1" applyBorder="1" applyAlignment="1" applyProtection="1">
      <alignment vertical="center"/>
      <protection/>
    </xf>
    <xf numFmtId="38" fontId="23" fillId="0" borderId="21" xfId="17" applyFont="1" applyBorder="1" applyAlignment="1" applyProtection="1">
      <alignment vertical="center"/>
      <protection/>
    </xf>
    <xf numFmtId="38" fontId="23" fillId="0" borderId="21" xfId="17" applyFont="1" applyBorder="1" applyAlignment="1" applyProtection="1" quotePrefix="1">
      <alignment horizontal="right" vertical="center"/>
      <protection locked="0"/>
    </xf>
    <xf numFmtId="38" fontId="23" fillId="0" borderId="23" xfId="17" applyFont="1" applyBorder="1" applyAlignment="1" applyProtection="1">
      <alignment vertical="center"/>
      <protection locked="0"/>
    </xf>
    <xf numFmtId="38" fontId="24" fillId="0" borderId="24" xfId="17" applyFont="1" applyBorder="1" applyAlignment="1" applyProtection="1">
      <alignment vertical="center"/>
      <protection/>
    </xf>
    <xf numFmtId="38" fontId="23" fillId="0" borderId="23" xfId="17" applyFont="1" applyBorder="1" applyAlignment="1" applyProtection="1">
      <alignment vertical="center"/>
      <protection/>
    </xf>
    <xf numFmtId="38" fontId="23" fillId="0" borderId="23" xfId="17" applyFont="1" applyBorder="1" applyAlignment="1" applyProtection="1" quotePrefix="1">
      <alignment horizontal="right" vertical="center"/>
      <protection locked="0"/>
    </xf>
    <xf numFmtId="0" fontId="3" fillId="0" borderId="0" xfId="0" applyFont="1" applyBorder="1" applyAlignment="1">
      <alignment/>
    </xf>
    <xf numFmtId="38" fontId="23" fillId="0" borderId="25" xfId="17" applyFont="1" applyBorder="1" applyAlignment="1" applyProtection="1">
      <alignment vertical="center"/>
      <protection locked="0"/>
    </xf>
    <xf numFmtId="40" fontId="23" fillId="0" borderId="13" xfId="17" applyNumberFormat="1" applyFont="1" applyBorder="1" applyAlignment="1" applyProtection="1">
      <alignment vertical="center"/>
      <protection locked="0"/>
    </xf>
    <xf numFmtId="40" fontId="23" fillId="0" borderId="6" xfId="17" applyNumberFormat="1" applyFont="1" applyBorder="1" applyAlignment="1" applyProtection="1">
      <alignment vertical="center"/>
      <protection locked="0"/>
    </xf>
    <xf numFmtId="40" fontId="23" fillId="0" borderId="5" xfId="17" applyNumberFormat="1" applyFont="1" applyBorder="1" applyAlignment="1" applyProtection="1">
      <alignment vertical="center"/>
      <protection locked="0"/>
    </xf>
    <xf numFmtId="40" fontId="23" fillId="0" borderId="8" xfId="17" applyNumberFormat="1" applyFont="1" applyBorder="1" applyAlignment="1" applyProtection="1">
      <alignment vertical="center"/>
      <protection locked="0"/>
    </xf>
    <xf numFmtId="40" fontId="23" fillId="0" borderId="26" xfId="17" applyNumberFormat="1" applyFont="1" applyBorder="1" applyAlignment="1" applyProtection="1">
      <alignment vertical="center"/>
      <protection locked="0"/>
    </xf>
    <xf numFmtId="40" fontId="23" fillId="0" borderId="9" xfId="17" applyNumberFormat="1" applyFont="1" applyBorder="1" applyAlignment="1" applyProtection="1">
      <alignment vertical="center"/>
      <protection locked="0"/>
    </xf>
    <xf numFmtId="38" fontId="23" fillId="0" borderId="0" xfId="17" applyFont="1" applyBorder="1" applyAlignment="1" applyProtection="1">
      <alignment vertical="center"/>
      <protection locked="0"/>
    </xf>
    <xf numFmtId="38" fontId="23" fillId="0" borderId="0" xfId="17" applyFont="1" applyBorder="1" applyAlignment="1" applyProtection="1">
      <alignment vertical="center"/>
      <protection/>
    </xf>
    <xf numFmtId="38" fontId="24" fillId="0" borderId="1" xfId="17" applyFont="1" applyBorder="1" applyAlignment="1" applyProtection="1">
      <alignment vertical="center"/>
      <protection/>
    </xf>
    <xf numFmtId="38" fontId="23" fillId="0" borderId="2" xfId="17" applyFont="1" applyBorder="1" applyAlignment="1" applyProtection="1">
      <alignment vertical="center"/>
      <protection locked="0"/>
    </xf>
    <xf numFmtId="38" fontId="24" fillId="0" borderId="3" xfId="17" applyFont="1" applyBorder="1" applyAlignment="1" applyProtection="1">
      <alignment vertical="center"/>
      <protection/>
    </xf>
    <xf numFmtId="2" fontId="25" fillId="0" borderId="3" xfId="0" applyNumberFormat="1" applyFont="1" applyBorder="1" applyAlignment="1" applyProtection="1">
      <alignment vertical="center"/>
      <protection locked="0"/>
    </xf>
    <xf numFmtId="0" fontId="25" fillId="0" borderId="15" xfId="0" applyFont="1" applyBorder="1" applyAlignment="1" applyProtection="1">
      <alignment vertical="center"/>
      <protection locked="0"/>
    </xf>
    <xf numFmtId="4" fontId="25" fillId="0" borderId="15" xfId="0" applyNumberFormat="1" applyFont="1" applyBorder="1" applyAlignment="1" applyProtection="1">
      <alignment vertical="center"/>
      <protection locked="0"/>
    </xf>
    <xf numFmtId="2" fontId="25" fillId="0" borderId="15" xfId="0" applyNumberFormat="1" applyFont="1" applyBorder="1" applyAlignment="1" applyProtection="1">
      <alignment vertical="center"/>
      <protection locked="0"/>
    </xf>
    <xf numFmtId="39" fontId="25" fillId="0" borderId="15" xfId="0" applyNumberFormat="1" applyFont="1" applyBorder="1" applyAlignment="1" applyProtection="1">
      <alignment vertical="center"/>
      <protection locked="0"/>
    </xf>
    <xf numFmtId="2" fontId="25" fillId="0" borderId="24" xfId="0" applyNumberFormat="1" applyFont="1" applyBorder="1" applyAlignment="1" applyProtection="1">
      <alignment vertical="center"/>
      <protection/>
    </xf>
    <xf numFmtId="2" fontId="25" fillId="0" borderId="1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2" fontId="25" fillId="0" borderId="15" xfId="0" applyNumberFormat="1" applyFont="1" applyBorder="1" applyAlignment="1" applyProtection="1">
      <alignment vertical="center"/>
      <protection/>
    </xf>
    <xf numFmtId="2" fontId="25" fillId="0" borderId="1" xfId="0" applyNumberFormat="1" applyFont="1" applyBorder="1" applyAlignment="1" applyProtection="1">
      <alignment vertical="center"/>
      <protection locked="0"/>
    </xf>
    <xf numFmtId="2" fontId="25" fillId="0" borderId="24" xfId="0" applyNumberFormat="1" applyFont="1" applyBorder="1" applyAlignment="1" applyProtection="1">
      <alignment vertical="center"/>
      <protection locked="0"/>
    </xf>
    <xf numFmtId="38" fontId="26" fillId="0" borderId="14" xfId="17" applyFont="1" applyBorder="1" applyAlignment="1" applyProtection="1">
      <alignment vertical="center"/>
      <protection/>
    </xf>
    <xf numFmtId="0" fontId="27" fillId="0" borderId="0" xfId="0" applyFont="1" applyAlignment="1">
      <alignment/>
    </xf>
    <xf numFmtId="14" fontId="28" fillId="0" borderId="1" xfId="0" applyNumberFormat="1" applyFont="1" applyBorder="1" applyAlignment="1" applyProtection="1">
      <alignment horizontal="right"/>
      <protection/>
    </xf>
    <xf numFmtId="40" fontId="25" fillId="0" borderId="1" xfId="17" applyNumberFormat="1" applyFont="1" applyBorder="1" applyAlignment="1" applyProtection="1">
      <alignment vertical="center"/>
      <protection/>
    </xf>
    <xf numFmtId="2" fontId="25" fillId="0" borderId="27" xfId="0" applyNumberFormat="1" applyFont="1" applyBorder="1" applyAlignment="1" applyProtection="1">
      <alignment vertical="center"/>
      <protection locked="0"/>
    </xf>
    <xf numFmtId="38" fontId="17" fillId="2" borderId="10" xfId="17" applyFont="1" applyFill="1" applyBorder="1" applyAlignment="1" applyProtection="1">
      <alignment horizontal="center" vertical="center"/>
      <protection/>
    </xf>
    <xf numFmtId="38" fontId="17" fillId="2" borderId="11" xfId="17" applyFont="1" applyFill="1" applyBorder="1" applyAlignment="1" applyProtection="1">
      <alignment horizontal="center" vertical="center"/>
      <protection/>
    </xf>
    <xf numFmtId="38" fontId="17" fillId="2" borderId="12" xfId="17" applyFont="1" applyFill="1" applyBorder="1" applyAlignment="1" applyProtection="1">
      <alignment horizontal="center" vertical="center"/>
      <protection/>
    </xf>
    <xf numFmtId="38" fontId="18" fillId="2" borderId="10" xfId="17" applyFont="1" applyFill="1" applyBorder="1" applyAlignment="1" applyProtection="1">
      <alignment horizontal="center" vertical="center"/>
      <protection/>
    </xf>
    <xf numFmtId="38" fontId="18" fillId="2" borderId="11" xfId="17" applyFont="1" applyFill="1" applyBorder="1" applyAlignment="1" applyProtection="1">
      <alignment horizontal="center" vertical="center"/>
      <protection/>
    </xf>
    <xf numFmtId="38" fontId="18" fillId="2" borderId="12" xfId="17" applyFont="1" applyFill="1" applyBorder="1" applyAlignment="1" applyProtection="1">
      <alignment horizontal="center" vertical="center"/>
      <protection/>
    </xf>
    <xf numFmtId="38" fontId="18" fillId="2" borderId="10" xfId="17" applyFont="1" applyFill="1" applyBorder="1" applyAlignment="1" applyProtection="1">
      <alignment horizontal="center" vertical="center" wrapText="1"/>
      <protection/>
    </xf>
    <xf numFmtId="38" fontId="18" fillId="2" borderId="4" xfId="17" applyFont="1" applyFill="1" applyBorder="1" applyAlignment="1" applyProtection="1">
      <alignment horizontal="center" vertical="center"/>
      <protection/>
    </xf>
    <xf numFmtId="38" fontId="18" fillId="2" borderId="7" xfId="17" applyFont="1" applyFill="1" applyBorder="1" applyAlignment="1" applyProtection="1">
      <alignment horizontal="center" vertical="center"/>
      <protection/>
    </xf>
    <xf numFmtId="38" fontId="19" fillId="2" borderId="10" xfId="17" applyFont="1" applyFill="1" applyBorder="1" applyAlignment="1" applyProtection="1">
      <alignment horizontal="center" vertical="center"/>
      <protection/>
    </xf>
    <xf numFmtId="38" fontId="19" fillId="2" borderId="11" xfId="17" applyFont="1" applyFill="1" applyBorder="1" applyAlignment="1" applyProtection="1">
      <alignment horizontal="center" vertical="center"/>
      <protection/>
    </xf>
    <xf numFmtId="38" fontId="19" fillId="2" borderId="12" xfId="17" applyFont="1" applyFill="1" applyBorder="1" applyAlignment="1" applyProtection="1">
      <alignment horizontal="center" vertical="center"/>
      <protection/>
    </xf>
    <xf numFmtId="186" fontId="28" fillId="0" borderId="1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 vertical="top"/>
      <protection/>
    </xf>
    <xf numFmtId="38" fontId="18" fillId="2" borderId="9" xfId="17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top"/>
      <protection/>
    </xf>
    <xf numFmtId="38" fontId="20" fillId="2" borderId="10" xfId="17" applyFont="1" applyFill="1" applyBorder="1" applyAlignment="1" applyProtection="1">
      <alignment horizontal="center" vertical="center"/>
      <protection/>
    </xf>
    <xf numFmtId="38" fontId="20" fillId="2" borderId="11" xfId="17" applyFont="1" applyFill="1" applyBorder="1" applyAlignment="1" applyProtection="1">
      <alignment horizontal="center" vertical="center"/>
      <protection/>
    </xf>
    <xf numFmtId="38" fontId="20" fillId="2" borderId="12" xfId="17" applyFont="1" applyFill="1" applyBorder="1" applyAlignment="1" applyProtection="1">
      <alignment horizontal="center" vertical="center"/>
      <protection/>
    </xf>
    <xf numFmtId="38" fontId="13" fillId="2" borderId="10" xfId="17" applyFont="1" applyFill="1" applyBorder="1" applyAlignment="1" applyProtection="1">
      <alignment horizontal="center" vertical="center"/>
      <protection/>
    </xf>
    <xf numFmtId="38" fontId="13" fillId="2" borderId="11" xfId="17" applyFont="1" applyFill="1" applyBorder="1" applyAlignment="1" applyProtection="1">
      <alignment horizontal="center" vertical="center"/>
      <protection/>
    </xf>
    <xf numFmtId="38" fontId="13" fillId="2" borderId="12" xfId="17" applyFont="1" applyFill="1" applyBorder="1" applyAlignment="1" applyProtection="1">
      <alignment horizontal="center" vertical="center"/>
      <protection/>
    </xf>
    <xf numFmtId="38" fontId="16" fillId="2" borderId="10" xfId="17" applyFont="1" applyFill="1" applyBorder="1" applyAlignment="1" applyProtection="1">
      <alignment horizontal="center" vertical="center"/>
      <protection/>
    </xf>
    <xf numFmtId="38" fontId="16" fillId="2" borderId="11" xfId="17" applyFont="1" applyFill="1" applyBorder="1" applyAlignment="1" applyProtection="1">
      <alignment horizontal="center" vertical="center"/>
      <protection/>
    </xf>
    <xf numFmtId="38" fontId="16" fillId="2" borderId="12" xfId="17" applyFont="1" applyFill="1" applyBorder="1" applyAlignment="1" applyProtection="1">
      <alignment horizontal="center" vertical="center"/>
      <protection/>
    </xf>
    <xf numFmtId="38" fontId="14" fillId="2" borderId="4" xfId="17" applyFont="1" applyFill="1" applyBorder="1" applyAlignment="1" applyProtection="1">
      <alignment horizontal="center" vertical="center"/>
      <protection/>
    </xf>
    <xf numFmtId="38" fontId="14" fillId="2" borderId="7" xfId="17" applyFont="1" applyFill="1" applyBorder="1" applyAlignment="1" applyProtection="1">
      <alignment horizontal="center" vertical="center"/>
      <protection/>
    </xf>
    <xf numFmtId="38" fontId="14" fillId="2" borderId="9" xfId="17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114300</xdr:rowOff>
    </xdr:from>
    <xdr:to>
      <xdr:col>13</xdr:col>
      <xdr:colOff>152400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19500" y="114300"/>
          <a:ext cx="60388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1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28575</xdr:rowOff>
    </xdr:from>
    <xdr:ext cx="6029325" cy="476250"/>
    <xdr:sp>
      <xdr:nvSpPr>
        <xdr:cNvPr id="2" name="TextBox 3"/>
        <xdr:cNvSpPr txBox="1">
          <a:spLocks noChangeArrowheads="1"/>
        </xdr:cNvSpPr>
      </xdr:nvSpPr>
      <xdr:spPr>
        <a:xfrm>
          <a:off x="3629025" y="28575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21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LPG CIF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123825</xdr:rowOff>
    </xdr:from>
    <xdr:to>
      <xdr:col>13</xdr:col>
      <xdr:colOff>400050</xdr:colOff>
      <xdr:row>0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3657600" y="123825"/>
          <a:ext cx="608647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1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29325" cy="476250"/>
    <xdr:sp>
      <xdr:nvSpPr>
        <xdr:cNvPr id="2" name="TextBox 4"/>
        <xdr:cNvSpPr txBox="1">
          <a:spLocks noChangeArrowheads="1"/>
        </xdr:cNvSpPr>
      </xdr:nvSpPr>
      <xdr:spPr>
        <a:xfrm>
          <a:off x="3686175" y="0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21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LPG CIF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114300</xdr:rowOff>
    </xdr:from>
    <xdr:to>
      <xdr:col>13</xdr:col>
      <xdr:colOff>276225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752850" y="114300"/>
          <a:ext cx="60293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1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6029325" cy="476250"/>
    <xdr:sp>
      <xdr:nvSpPr>
        <xdr:cNvPr id="2" name="TextBox 3"/>
        <xdr:cNvSpPr txBox="1">
          <a:spLocks noChangeArrowheads="1"/>
        </xdr:cNvSpPr>
      </xdr:nvSpPr>
      <xdr:spPr>
        <a:xfrm>
          <a:off x="3733800" y="0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21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LPG CIF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114300</xdr:rowOff>
    </xdr:from>
    <xdr:to>
      <xdr:col>13</xdr:col>
      <xdr:colOff>381000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57600" y="114300"/>
          <a:ext cx="60960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1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29325" cy="476250"/>
    <xdr:sp>
      <xdr:nvSpPr>
        <xdr:cNvPr id="2" name="TextBox 3"/>
        <xdr:cNvSpPr txBox="1">
          <a:spLocks noChangeArrowheads="1"/>
        </xdr:cNvSpPr>
      </xdr:nvSpPr>
      <xdr:spPr>
        <a:xfrm>
          <a:off x="3705225" y="9525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21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LPG CIF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114300</xdr:rowOff>
    </xdr:from>
    <xdr:to>
      <xdr:col>13</xdr:col>
      <xdr:colOff>552450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829050" y="114300"/>
          <a:ext cx="60960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1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29325" cy="476250"/>
    <xdr:sp>
      <xdr:nvSpPr>
        <xdr:cNvPr id="2" name="TextBox 3"/>
        <xdr:cNvSpPr txBox="1">
          <a:spLocks noChangeArrowheads="1"/>
        </xdr:cNvSpPr>
      </xdr:nvSpPr>
      <xdr:spPr>
        <a:xfrm>
          <a:off x="3838575" y="0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21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LPG CIF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114300</xdr:rowOff>
    </xdr:from>
    <xdr:to>
      <xdr:col>13</xdr:col>
      <xdr:colOff>466725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800475" y="114300"/>
          <a:ext cx="60293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1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29325" cy="476250"/>
    <xdr:sp>
      <xdr:nvSpPr>
        <xdr:cNvPr id="2" name="TextBox 2"/>
        <xdr:cNvSpPr txBox="1">
          <a:spLocks noChangeArrowheads="1"/>
        </xdr:cNvSpPr>
      </xdr:nvSpPr>
      <xdr:spPr>
        <a:xfrm>
          <a:off x="3800475" y="0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21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LPG CIF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114300</xdr:rowOff>
    </xdr:from>
    <xdr:to>
      <xdr:col>13</xdr:col>
      <xdr:colOff>638175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76650" y="114300"/>
          <a:ext cx="63246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1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29325" cy="476250"/>
    <xdr:sp>
      <xdr:nvSpPr>
        <xdr:cNvPr id="2" name="TextBox 3"/>
        <xdr:cNvSpPr txBox="1">
          <a:spLocks noChangeArrowheads="1"/>
        </xdr:cNvSpPr>
      </xdr:nvSpPr>
      <xdr:spPr>
        <a:xfrm>
          <a:off x="3705225" y="0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21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LPG CIF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114300</xdr:rowOff>
    </xdr:from>
    <xdr:to>
      <xdr:col>13</xdr:col>
      <xdr:colOff>285750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581400" y="114300"/>
          <a:ext cx="60769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1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29325" cy="476250"/>
    <xdr:sp>
      <xdr:nvSpPr>
        <xdr:cNvPr id="2" name="TextBox 3"/>
        <xdr:cNvSpPr txBox="1">
          <a:spLocks noChangeArrowheads="1"/>
        </xdr:cNvSpPr>
      </xdr:nvSpPr>
      <xdr:spPr>
        <a:xfrm>
          <a:off x="3581400" y="0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21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LPG CIF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114300</xdr:rowOff>
    </xdr:from>
    <xdr:to>
      <xdr:col>13</xdr:col>
      <xdr:colOff>257175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533775" y="114300"/>
          <a:ext cx="608647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1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096000" cy="466725"/>
    <xdr:sp>
      <xdr:nvSpPr>
        <xdr:cNvPr id="2" name="TextBox 2"/>
        <xdr:cNvSpPr txBox="1">
          <a:spLocks noChangeArrowheads="1"/>
        </xdr:cNvSpPr>
      </xdr:nvSpPr>
      <xdr:spPr>
        <a:xfrm>
          <a:off x="3524250" y="9525"/>
          <a:ext cx="6096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21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LPG CIF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114300</xdr:rowOff>
    </xdr:from>
    <xdr:to>
      <xdr:col>13</xdr:col>
      <xdr:colOff>238125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514725" y="114300"/>
          <a:ext cx="60960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1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638175</xdr:colOff>
      <xdr:row>0</xdr:row>
      <xdr:rowOff>0</xdr:rowOff>
    </xdr:from>
    <xdr:ext cx="6029325" cy="476250"/>
    <xdr:sp>
      <xdr:nvSpPr>
        <xdr:cNvPr id="2" name="TextBox 3"/>
        <xdr:cNvSpPr txBox="1">
          <a:spLocks noChangeArrowheads="1"/>
        </xdr:cNvSpPr>
      </xdr:nvSpPr>
      <xdr:spPr>
        <a:xfrm>
          <a:off x="3533775" y="0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21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LPG CIF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Zeros="0" tabSelected="1" zoomScale="55" zoomScaleNormal="55" zoomScaleSheetLayoutView="85" workbookViewId="0" topLeftCell="A1">
      <pane xSplit="3" ySplit="3" topLeftCell="D4" activePane="bottomRight" state="frozen"/>
      <selection pane="topLeft" activeCell="A43" sqref="A43:C43"/>
      <selection pane="topRight" activeCell="A43" sqref="A43:C43"/>
      <selection pane="bottomLeft" activeCell="A43" sqref="A43:C43"/>
      <selection pane="bottomRight" activeCell="Q43" sqref="Q43"/>
    </sheetView>
  </sheetViews>
  <sheetFormatPr defaultColWidth="9.140625" defaultRowHeight="12.75"/>
  <cols>
    <col min="1" max="1" width="14.421875" style="0" customWidth="1"/>
    <col min="4" max="9" width="10.8515625" style="0" customWidth="1"/>
    <col min="10" max="10" width="12.140625" style="0" customWidth="1"/>
    <col min="11" max="16" width="10.8515625" style="0" customWidth="1"/>
    <col min="17" max="18" width="12.140625" style="0" customWidth="1"/>
    <col min="19" max="19" width="5.421875" style="0" customWidth="1"/>
  </cols>
  <sheetData>
    <row r="1" spans="1:18" ht="27.75" customHeight="1">
      <c r="A1" s="13" t="s">
        <v>8</v>
      </c>
      <c r="B1" s="10" t="s">
        <v>93</v>
      </c>
      <c r="D1" s="114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R1" s="2"/>
    </row>
    <row r="2" spans="1:18" ht="17.2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13">
        <v>40616</v>
      </c>
      <c r="R2" s="113"/>
    </row>
    <row r="3" spans="1:19" ht="25.5" customHeight="1" thickBot="1">
      <c r="A3" s="19" t="s">
        <v>15</v>
      </c>
      <c r="B3" s="20"/>
      <c r="C3" s="20"/>
      <c r="D3" s="21" t="s">
        <v>16</v>
      </c>
      <c r="E3" s="22" t="s">
        <v>17</v>
      </c>
      <c r="F3" s="23" t="s">
        <v>18</v>
      </c>
      <c r="G3" s="23" t="s">
        <v>19</v>
      </c>
      <c r="H3" s="23" t="s">
        <v>20</v>
      </c>
      <c r="I3" s="24" t="s">
        <v>21</v>
      </c>
      <c r="J3" s="25" t="s">
        <v>22</v>
      </c>
      <c r="K3" s="24" t="s">
        <v>23</v>
      </c>
      <c r="L3" s="23" t="s">
        <v>24</v>
      </c>
      <c r="M3" s="23" t="s">
        <v>25</v>
      </c>
      <c r="N3" s="23" t="s">
        <v>26</v>
      </c>
      <c r="O3" s="23" t="s">
        <v>27</v>
      </c>
      <c r="P3" s="24" t="s">
        <v>28</v>
      </c>
      <c r="Q3" s="25" t="s">
        <v>29</v>
      </c>
      <c r="R3" s="26" t="s">
        <v>30</v>
      </c>
      <c r="S3" s="5"/>
    </row>
    <row r="4" spans="1:19" ht="13.5" customHeight="1">
      <c r="A4" s="101" t="s">
        <v>41</v>
      </c>
      <c r="B4" s="30" t="s">
        <v>9</v>
      </c>
      <c r="C4" s="31" t="s">
        <v>1</v>
      </c>
      <c r="D4" s="55">
        <f>'P合計'!D4+'B合計'!D4+'液化石油ガス'!D4</f>
        <v>130064</v>
      </c>
      <c r="E4" s="51">
        <f>'P合計'!E4+'B合計'!E4+'液化石油ガス'!E4</f>
        <v>335654</v>
      </c>
      <c r="F4" s="51">
        <f>'P合計'!F4+'B合計'!F4+'液化石油ガス'!F4</f>
        <v>302824</v>
      </c>
      <c r="G4" s="51">
        <f>'P合計'!G4+'B合計'!G4+'液化石油ガス'!G4</f>
        <v>172767</v>
      </c>
      <c r="H4" s="51">
        <f>'P合計'!H4+'B合計'!H4+'液化石油ガス'!H4</f>
        <v>223719</v>
      </c>
      <c r="I4" s="60">
        <f>'P合計'!I4+'B合計'!I4+'液化石油ガス'!I4</f>
        <v>344988</v>
      </c>
      <c r="J4" s="68">
        <f>'P合計'!J4+'B合計'!J4+'液化石油ガス'!J4</f>
        <v>1510016</v>
      </c>
      <c r="K4" s="64">
        <f>'P合計'!K4+'B合計'!K4+'液化石油ガス'!K4</f>
        <v>191598</v>
      </c>
      <c r="L4" s="51">
        <f>'P合計'!L4+'B合計'!L4+'液化石油ガス'!L4</f>
        <v>257747</v>
      </c>
      <c r="M4" s="51">
        <f>'P合計'!M4+'B合計'!M4+'液化石油ガス'!M4</f>
        <v>183852</v>
      </c>
      <c r="N4" s="51">
        <f>'P合計'!N4+'B合計'!N4+'液化石油ガス'!N4</f>
        <v>251817</v>
      </c>
      <c r="O4" s="51">
        <f>'P合計'!O4+'B合計'!O4+'液化石油ガス'!O4</f>
        <v>216139</v>
      </c>
      <c r="P4" s="60">
        <f>'P合計'!P4+'B合計'!P4+'液化石油ガス'!P4</f>
        <v>134604</v>
      </c>
      <c r="Q4" s="68">
        <f>'P合計'!Q4+'B合計'!Q4+'液化石油ガス'!Q4</f>
        <v>1235757</v>
      </c>
      <c r="R4" s="64">
        <f>'P合計'!R4+'B合計'!R4+'液化石油ガス'!R4</f>
        <v>2745773</v>
      </c>
      <c r="S4" s="5"/>
    </row>
    <row r="5" spans="1:19" ht="13.5" customHeight="1">
      <c r="A5" s="102"/>
      <c r="B5" s="30" t="s">
        <v>10</v>
      </c>
      <c r="C5" s="31" t="s">
        <v>2</v>
      </c>
      <c r="D5" s="56">
        <f>'P合計'!D5+'B合計'!D5+'液化石油ガス'!D5</f>
        <v>5783750</v>
      </c>
      <c r="E5" s="51">
        <f>'P合計'!E5+'B合計'!E5+'液化石油ガス'!E5</f>
        <v>14700965</v>
      </c>
      <c r="F5" s="51">
        <f>'P合計'!F5+'B合計'!F5+'液化石油ガス'!F5</f>
        <v>13082324</v>
      </c>
      <c r="G5" s="51">
        <f>'P合計'!G5+'B合計'!G5+'液化石油ガス'!G5</f>
        <v>7515207</v>
      </c>
      <c r="H5" s="51">
        <f>'P合計'!H5+'B合計'!H5+'液化石油ガス'!H5</f>
        <v>11570569</v>
      </c>
      <c r="I5" s="60">
        <f>'P合計'!I5+'B合計'!I5+'液化石油ガス'!I5</f>
        <v>18183399</v>
      </c>
      <c r="J5" s="68">
        <f>'P合計'!J5+'B合計'!J5+'液化石油ガス'!J5</f>
        <v>70836214</v>
      </c>
      <c r="K5" s="64">
        <f>'P合計'!K5+'B合計'!K5+'液化石油ガス'!K5</f>
        <v>10116465</v>
      </c>
      <c r="L5" s="51">
        <f>'P合計'!L5+'B合計'!L5+'液化石油ガス'!L5</f>
        <v>14277275</v>
      </c>
      <c r="M5" s="51">
        <f>'P合計'!M5+'B合計'!M5+'液化石油ガス'!M5</f>
        <v>11533120</v>
      </c>
      <c r="N5" s="51">
        <f>'P合計'!N5+'B合計'!N5+'液化石油ガス'!N5</f>
        <v>17326347</v>
      </c>
      <c r="O5" s="51">
        <f>'P合計'!O5+'B合計'!O5+'液化石油ガス'!O5</f>
        <v>14867198</v>
      </c>
      <c r="P5" s="60">
        <f>'P合計'!P5+'B合計'!P5+'液化石油ガス'!P5</f>
        <v>9219951</v>
      </c>
      <c r="Q5" s="68">
        <f>'P合計'!Q5+'B合計'!Q5+'液化石油ガス'!Q5</f>
        <v>77340356</v>
      </c>
      <c r="R5" s="64">
        <f>'P合計'!R5+'B合計'!R5+'液化石油ガス'!R5</f>
        <v>148176570</v>
      </c>
      <c r="S5" s="5"/>
    </row>
    <row r="6" spans="1:19" ht="13.5" customHeight="1" thickBot="1">
      <c r="A6" s="103"/>
      <c r="B6" s="18" t="s">
        <v>42</v>
      </c>
      <c r="C6" s="32" t="s">
        <v>3</v>
      </c>
      <c r="D6" s="57">
        <f aca="true" t="shared" si="0" ref="D6:R6">IF(D4=0,"",(D5/D4)*1000)</f>
        <v>44468.49243449379</v>
      </c>
      <c r="E6" s="52">
        <f t="shared" si="0"/>
        <v>43797.97350843428</v>
      </c>
      <c r="F6" s="52">
        <f t="shared" si="0"/>
        <v>43201.0804956014</v>
      </c>
      <c r="G6" s="52">
        <f t="shared" si="0"/>
        <v>43499.08836757019</v>
      </c>
      <c r="H6" s="52">
        <f t="shared" si="0"/>
        <v>51719.20578940546</v>
      </c>
      <c r="I6" s="61">
        <f t="shared" si="0"/>
        <v>52707.33764652684</v>
      </c>
      <c r="J6" s="69">
        <f t="shared" si="0"/>
        <v>46910.90293082987</v>
      </c>
      <c r="K6" s="65">
        <f t="shared" si="0"/>
        <v>52800.47286506122</v>
      </c>
      <c r="L6" s="52">
        <f t="shared" si="0"/>
        <v>55392.594288197346</v>
      </c>
      <c r="M6" s="52">
        <f t="shared" si="0"/>
        <v>62730.4571068033</v>
      </c>
      <c r="N6" s="52">
        <f t="shared" si="0"/>
        <v>68805.31099965451</v>
      </c>
      <c r="O6" s="52">
        <f t="shared" si="0"/>
        <v>68785.35572016156</v>
      </c>
      <c r="P6" s="61">
        <f t="shared" si="0"/>
        <v>68496.85744851564</v>
      </c>
      <c r="Q6" s="69">
        <f t="shared" si="0"/>
        <v>62585.40797260303</v>
      </c>
      <c r="R6" s="65">
        <f t="shared" si="0"/>
        <v>53965.33872246541</v>
      </c>
      <c r="S6" s="5"/>
    </row>
    <row r="7" spans="1:19" ht="13.5" customHeight="1">
      <c r="A7" s="101" t="s">
        <v>51</v>
      </c>
      <c r="B7" s="30" t="s">
        <v>9</v>
      </c>
      <c r="C7" s="31" t="s">
        <v>1</v>
      </c>
      <c r="D7" s="56">
        <f>'P合計'!D7+'B合計'!D7+'液化石油ガス'!D7</f>
        <v>200669</v>
      </c>
      <c r="E7" s="51">
        <f>'P合計'!E7+'B合計'!E7+'液化石油ガス'!E7</f>
        <v>87056</v>
      </c>
      <c r="F7" s="51">
        <f>'P合計'!F7+'B合計'!F7+'液化石油ガス'!F7</f>
        <v>88764</v>
      </c>
      <c r="G7" s="51">
        <f>'P合計'!G7+'B合計'!G7+'液化石油ガス'!G7</f>
        <v>71186</v>
      </c>
      <c r="H7" s="51">
        <f>'P合計'!H7+'B合計'!H7+'液化石油ガス'!H7</f>
        <v>148757</v>
      </c>
      <c r="I7" s="60">
        <f>'P合計'!I7+'B合計'!I7+'液化石油ガス'!I7</f>
        <v>140617</v>
      </c>
      <c r="J7" s="68">
        <f>'P合計'!J7+'B合計'!J7+'液化石油ガス'!J7</f>
        <v>737049</v>
      </c>
      <c r="K7" s="64">
        <f>'P合計'!K7+'B合計'!K7+'液化石油ガス'!K7</f>
        <v>102135</v>
      </c>
      <c r="L7" s="51">
        <f>'P合計'!L7+'B合計'!L7+'液化石油ガス'!L7</f>
        <v>187411</v>
      </c>
      <c r="M7" s="51">
        <f>'P合計'!M7+'B合計'!M7+'液化石油ガス'!M7</f>
        <v>152855</v>
      </c>
      <c r="N7" s="51">
        <f>'P合計'!N7+'B合計'!N7+'液化石油ガス'!N7</f>
        <v>70764</v>
      </c>
      <c r="O7" s="51">
        <f>'P合計'!O7+'B合計'!O7+'液化石油ガス'!O7</f>
        <v>63953</v>
      </c>
      <c r="P7" s="60">
        <f>'P合計'!P7+'B合計'!P7+'液化石油ガス'!P7</f>
        <v>84011</v>
      </c>
      <c r="Q7" s="68">
        <f>'P合計'!Q7+'B合計'!Q7+'液化石油ガス'!Q7</f>
        <v>661129</v>
      </c>
      <c r="R7" s="64">
        <f>'P合計'!R7+'B合計'!R7+'液化石油ガス'!R7</f>
        <v>1398178</v>
      </c>
      <c r="S7" s="5"/>
    </row>
    <row r="8" spans="1:19" ht="13.5" customHeight="1">
      <c r="A8" s="102"/>
      <c r="B8" s="30" t="s">
        <v>10</v>
      </c>
      <c r="C8" s="31" t="s">
        <v>2</v>
      </c>
      <c r="D8" s="56">
        <f>'P合計'!D8+'B合計'!D8+'液化石油ガス'!D8</f>
        <v>9605634</v>
      </c>
      <c r="E8" s="51">
        <f>'P合計'!E8+'B合計'!E8+'液化石油ガス'!E8</f>
        <v>3588453</v>
      </c>
      <c r="F8" s="51">
        <f>'P合計'!F8+'B合計'!F8+'液化石油ガス'!F8</f>
        <v>3595000</v>
      </c>
      <c r="G8" s="51">
        <f>'P合計'!G8+'B合計'!G8+'液化石油ガス'!G8</f>
        <v>3552788</v>
      </c>
      <c r="H8" s="51">
        <f>'P合計'!H8+'B合計'!H8+'液化石油ガス'!H8</f>
        <v>7550800</v>
      </c>
      <c r="I8" s="60">
        <f>'P合計'!I8+'B合計'!I8+'液化石油ガス'!I8</f>
        <v>7098624</v>
      </c>
      <c r="J8" s="68">
        <f>'P合計'!J8+'B合計'!J8+'液化石油ガス'!J8</f>
        <v>34991299</v>
      </c>
      <c r="K8" s="64">
        <f>'P合計'!K8+'B合計'!K8+'液化石油ガス'!K8</f>
        <v>5479164</v>
      </c>
      <c r="L8" s="51">
        <f>'P合計'!L8+'B合計'!L8+'液化石油ガス'!L8</f>
        <v>10769805</v>
      </c>
      <c r="M8" s="51">
        <f>'P合計'!M8+'B合計'!M8+'液化石油ガス'!M8</f>
        <v>8700824</v>
      </c>
      <c r="N8" s="51">
        <f>'P合計'!N8+'B合計'!N8+'液化石油ガス'!N8</f>
        <v>4700759</v>
      </c>
      <c r="O8" s="51">
        <f>'P合計'!O8+'B合計'!O8+'液化石油ガス'!O8</f>
        <v>4260448</v>
      </c>
      <c r="P8" s="60">
        <f>'P合計'!P8+'B合計'!P8+'液化石油ガス'!P8</f>
        <v>5581537</v>
      </c>
      <c r="Q8" s="68">
        <f>'P合計'!Q8+'B合計'!Q8+'液化石油ガス'!Q8</f>
        <v>39492537</v>
      </c>
      <c r="R8" s="64">
        <f>'P合計'!R8+'B合計'!R8+'液化石油ガス'!R8</f>
        <v>74483836</v>
      </c>
      <c r="S8" s="5"/>
    </row>
    <row r="9" spans="1:19" ht="13.5" customHeight="1" thickBot="1">
      <c r="A9" s="103"/>
      <c r="B9" s="18" t="s">
        <v>42</v>
      </c>
      <c r="C9" s="32" t="s">
        <v>3</v>
      </c>
      <c r="D9" s="57">
        <f aca="true" t="shared" si="1" ref="D9:R9">IF(D7=0,"",(D8/D7)*1000)</f>
        <v>47868.05136817346</v>
      </c>
      <c r="E9" s="52">
        <f t="shared" si="1"/>
        <v>41220.053758500275</v>
      </c>
      <c r="F9" s="52">
        <f t="shared" si="1"/>
        <v>40500.65341805237</v>
      </c>
      <c r="G9" s="52">
        <f t="shared" si="1"/>
        <v>49908.52133846543</v>
      </c>
      <c r="H9" s="52">
        <f t="shared" si="1"/>
        <v>50759.29199970422</v>
      </c>
      <c r="I9" s="61">
        <f t="shared" si="1"/>
        <v>50481.97586351579</v>
      </c>
      <c r="J9" s="69">
        <f t="shared" si="1"/>
        <v>47474.861237176905</v>
      </c>
      <c r="K9" s="65">
        <f t="shared" si="1"/>
        <v>53646.29167278602</v>
      </c>
      <c r="L9" s="52">
        <f t="shared" si="1"/>
        <v>57466.23730730854</v>
      </c>
      <c r="M9" s="52">
        <f t="shared" si="1"/>
        <v>56922.07647770763</v>
      </c>
      <c r="N9" s="52">
        <f t="shared" si="1"/>
        <v>66428.67842405742</v>
      </c>
      <c r="O9" s="52">
        <f t="shared" si="1"/>
        <v>66618.42290432035</v>
      </c>
      <c r="P9" s="61">
        <f t="shared" si="1"/>
        <v>66438.16881122711</v>
      </c>
      <c r="Q9" s="69">
        <f t="shared" si="1"/>
        <v>59734.9942295679</v>
      </c>
      <c r="R9" s="65">
        <f t="shared" si="1"/>
        <v>53272.06979368864</v>
      </c>
      <c r="S9" s="5"/>
    </row>
    <row r="10" spans="1:19" ht="13.5" customHeight="1">
      <c r="A10" s="101" t="s">
        <v>52</v>
      </c>
      <c r="B10" s="30" t="s">
        <v>9</v>
      </c>
      <c r="C10" s="31" t="s">
        <v>1</v>
      </c>
      <c r="D10" s="56">
        <f>'P合計'!D10+'B合計'!D10+'液化石油ガス'!D10</f>
        <v>61525</v>
      </c>
      <c r="E10" s="51">
        <f>'P合計'!E10+'B合計'!E10+'液化石油ガス'!E10</f>
        <v>0</v>
      </c>
      <c r="F10" s="51">
        <f>'P合計'!F10+'B合計'!F10+'液化石油ガス'!F10</f>
        <v>61696</v>
      </c>
      <c r="G10" s="51">
        <f>'P合計'!G10+'B合計'!G10+'液化石油ガス'!G10</f>
        <v>0</v>
      </c>
      <c r="H10" s="51">
        <f>'P合計'!H10+'B合計'!H10+'液化石油ガス'!H10</f>
        <v>42392</v>
      </c>
      <c r="I10" s="60">
        <f>'P合計'!I10+'B合計'!I10+'液化石油ガス'!I10</f>
        <v>0</v>
      </c>
      <c r="J10" s="68">
        <f>'P合計'!J10+'B合計'!J10+'液化石油ガス'!J10</f>
        <v>165613</v>
      </c>
      <c r="K10" s="64">
        <f>'P合計'!K10+'B合計'!K10+'液化石油ガス'!K10</f>
        <v>44830</v>
      </c>
      <c r="L10" s="51">
        <f>'P合計'!L10+'B合計'!L10+'液化石油ガス'!L10</f>
        <v>24616</v>
      </c>
      <c r="M10" s="51">
        <f>'P合計'!M10+'B合計'!M10+'液化石油ガス'!M10</f>
        <v>87750</v>
      </c>
      <c r="N10" s="51">
        <f>'P合計'!N10+'B合計'!N10+'液化石油ガス'!N10</f>
        <v>75199</v>
      </c>
      <c r="O10" s="51">
        <f>'P合計'!O10+'B合計'!O10+'液化石油ガス'!O10</f>
        <v>51282</v>
      </c>
      <c r="P10" s="60">
        <f>'P合計'!P10+'B合計'!P10+'液化石油ガス'!P10</f>
        <v>85019</v>
      </c>
      <c r="Q10" s="68">
        <f>'P合計'!Q10+'B合計'!Q10+'液化石油ガス'!Q10</f>
        <v>368696</v>
      </c>
      <c r="R10" s="64">
        <f>'P合計'!R10+'B合計'!R10+'液化石油ガス'!R10</f>
        <v>534309</v>
      </c>
      <c r="S10" s="5"/>
    </row>
    <row r="11" spans="1:19" ht="13.5" customHeight="1">
      <c r="A11" s="102"/>
      <c r="B11" s="30" t="s">
        <v>10</v>
      </c>
      <c r="C11" s="31" t="s">
        <v>2</v>
      </c>
      <c r="D11" s="58">
        <f>'P合計'!D11+'B合計'!D11+'液化石油ガス'!D11</f>
        <v>3233222</v>
      </c>
      <c r="E11" s="53">
        <f>'P合計'!E11+'B合計'!E11+'液化石油ガス'!E11</f>
        <v>0</v>
      </c>
      <c r="F11" s="53">
        <f>'P合計'!F11+'B合計'!F11+'液化石油ガス'!F11</f>
        <v>2504798</v>
      </c>
      <c r="G11" s="53">
        <f>'P合計'!G11+'B合計'!G11+'液化石油ガス'!G11</f>
        <v>0</v>
      </c>
      <c r="H11" s="53">
        <f>'P合計'!H11+'B合計'!H11+'液化石油ガス'!H11</f>
        <v>1948177</v>
      </c>
      <c r="I11" s="62">
        <f>'P合計'!I11+'B合計'!I11+'液化石油ガス'!I11</f>
        <v>0</v>
      </c>
      <c r="J11" s="70">
        <f>'P合計'!J11+'B合計'!J11+'液化石油ガス'!J11</f>
        <v>7686197</v>
      </c>
      <c r="K11" s="66">
        <f>'P合計'!K11+'B合計'!K11+'液化石油ガス'!K11</f>
        <v>2778969</v>
      </c>
      <c r="L11" s="53">
        <f>'P合計'!L11+'B合計'!L11+'液化石油ガス'!L11</f>
        <v>1505986</v>
      </c>
      <c r="M11" s="53">
        <f>'P合計'!M11+'B合計'!M11+'液化石油ガス'!M11</f>
        <v>5641860</v>
      </c>
      <c r="N11" s="53">
        <f>'P合計'!N11+'B合計'!N11+'液化石油ガス'!N11</f>
        <v>4977917</v>
      </c>
      <c r="O11" s="53">
        <f>'P合計'!O11+'B合計'!O11+'液化石油ガス'!O11</f>
        <v>3201059</v>
      </c>
      <c r="P11" s="62">
        <f>'P合計'!P11+'B合計'!P11+'液化石油ガス'!P11</f>
        <v>5871739</v>
      </c>
      <c r="Q11" s="70">
        <f>'P合計'!Q11+'B合計'!Q11+'液化石油ガス'!Q11</f>
        <v>23977530</v>
      </c>
      <c r="R11" s="66">
        <f>'P合計'!R11+'B合計'!R11+'液化石油ガス'!R11</f>
        <v>31663727</v>
      </c>
      <c r="S11" s="5"/>
    </row>
    <row r="12" spans="1:19" ht="13.5" customHeight="1" thickBot="1">
      <c r="A12" s="103"/>
      <c r="B12" s="18" t="s">
        <v>42</v>
      </c>
      <c r="C12" s="32" t="s">
        <v>3</v>
      </c>
      <c r="D12" s="57">
        <f aca="true" t="shared" si="2" ref="D12:R12">IF(D10=0,"",(D11/D10)*1000)</f>
        <v>52551.35310849248</v>
      </c>
      <c r="E12" s="52">
        <f t="shared" si="2"/>
      </c>
      <c r="F12" s="52">
        <f t="shared" si="2"/>
        <v>40599.03397302904</v>
      </c>
      <c r="G12" s="52">
        <f t="shared" si="2"/>
      </c>
      <c r="H12" s="52">
        <f t="shared" si="2"/>
        <v>45956.24174372523</v>
      </c>
      <c r="I12" s="61">
        <f t="shared" si="2"/>
      </c>
      <c r="J12" s="69">
        <f t="shared" si="2"/>
        <v>46410.58974838932</v>
      </c>
      <c r="K12" s="65">
        <f t="shared" si="2"/>
        <v>61989.04751282623</v>
      </c>
      <c r="L12" s="52">
        <f t="shared" si="2"/>
        <v>61179.15177120572</v>
      </c>
      <c r="M12" s="52">
        <f t="shared" si="2"/>
        <v>64294.70085470085</v>
      </c>
      <c r="N12" s="52">
        <f t="shared" si="2"/>
        <v>66196.58506097156</v>
      </c>
      <c r="O12" s="52">
        <f t="shared" si="2"/>
        <v>62420.712920712926</v>
      </c>
      <c r="P12" s="61">
        <f t="shared" si="2"/>
        <v>69063.84455239418</v>
      </c>
      <c r="Q12" s="69">
        <f t="shared" si="2"/>
        <v>65033.333694968205</v>
      </c>
      <c r="R12" s="65">
        <f t="shared" si="2"/>
        <v>59261.07739154684</v>
      </c>
      <c r="S12" s="5"/>
    </row>
    <row r="13" spans="1:19" ht="13.5" customHeight="1">
      <c r="A13" s="101" t="s">
        <v>94</v>
      </c>
      <c r="B13" s="30" t="s">
        <v>9</v>
      </c>
      <c r="C13" s="31" t="s">
        <v>1</v>
      </c>
      <c r="D13" s="56">
        <f>'P合計'!D13+'B合計'!D13+'液化石油ガス'!D13</f>
        <v>21747</v>
      </c>
      <c r="E13" s="51">
        <f>'P合計'!E13+'B合計'!E13+'液化石油ガス'!E13</f>
        <v>0</v>
      </c>
      <c r="F13" s="51">
        <f>'P合計'!F13+'B合計'!F13+'液化石油ガス'!F13</f>
        <v>0</v>
      </c>
      <c r="G13" s="51">
        <f>'P合計'!G13+'B合計'!G13+'液化石油ガス'!G13</f>
        <v>0</v>
      </c>
      <c r="H13" s="51">
        <f>'P合計'!H13+'B合計'!H13+'液化石油ガス'!H13</f>
        <v>0</v>
      </c>
      <c r="I13" s="60">
        <f>'P合計'!I13+'B合計'!I13+'液化石油ガス'!I13</f>
        <v>0</v>
      </c>
      <c r="J13" s="68">
        <f>'P合計'!J13+'B合計'!J13+'液化石油ガス'!J13</f>
        <v>21747</v>
      </c>
      <c r="K13" s="64">
        <f>'P合計'!K13+'B合計'!K13+'液化石油ガス'!K13</f>
        <v>0</v>
      </c>
      <c r="L13" s="51">
        <f>'P合計'!L13+'B合計'!L13+'液化石油ガス'!L13</f>
        <v>29803</v>
      </c>
      <c r="M13" s="51">
        <f>'P合計'!M13+'B合計'!M13+'液化石油ガス'!M13</f>
        <v>7932</v>
      </c>
      <c r="N13" s="51">
        <f>'P合計'!N13+'B合計'!N13+'液化石油ガス'!N13</f>
        <v>23628</v>
      </c>
      <c r="O13" s="51">
        <f>'P合計'!O13+'B合計'!O13+'液化石油ガス'!O13</f>
        <v>0</v>
      </c>
      <c r="P13" s="60">
        <f>'P合計'!P13+'B合計'!P13+'液化石油ガス'!P13</f>
        <v>0</v>
      </c>
      <c r="Q13" s="68">
        <f>'P合計'!Q13+'B合計'!Q13+'液化石油ガス'!Q13</f>
        <v>61363</v>
      </c>
      <c r="R13" s="64">
        <f>'P合計'!R13+'B合計'!R13+'液化石油ガス'!R13</f>
        <v>83110</v>
      </c>
      <c r="S13" s="5"/>
    </row>
    <row r="14" spans="1:19" ht="13.5" customHeight="1">
      <c r="A14" s="102"/>
      <c r="B14" s="30" t="s">
        <v>10</v>
      </c>
      <c r="C14" s="31" t="s">
        <v>2</v>
      </c>
      <c r="D14" s="58">
        <f>'P合計'!D14+'B合計'!D14+'液化石油ガス'!D14</f>
        <v>985451</v>
      </c>
      <c r="E14" s="53">
        <f>'P合計'!E14+'B合計'!E14+'液化石油ガス'!E14</f>
        <v>0</v>
      </c>
      <c r="F14" s="53">
        <f>'P合計'!F14+'B合計'!F14+'液化石油ガス'!F14</f>
        <v>0</v>
      </c>
      <c r="G14" s="53">
        <f>'P合計'!G14+'B合計'!G14+'液化石油ガス'!G14</f>
        <v>0</v>
      </c>
      <c r="H14" s="53">
        <f>'P合計'!H14+'B合計'!H14+'液化石油ガス'!H14</f>
        <v>0</v>
      </c>
      <c r="I14" s="62">
        <f>'P合計'!I14+'B合計'!I14+'液化石油ガス'!I14</f>
        <v>0</v>
      </c>
      <c r="J14" s="70">
        <f>'P合計'!J14+'B合計'!J14+'液化石油ガス'!J14</f>
        <v>985451</v>
      </c>
      <c r="K14" s="66">
        <f>'P合計'!K14+'B合計'!K14+'液化石油ガス'!K14</f>
        <v>0</v>
      </c>
      <c r="L14" s="53">
        <f>'P合計'!L14+'B合計'!L14+'液化石油ガス'!L14</f>
        <v>1865308</v>
      </c>
      <c r="M14" s="53">
        <f>'P合計'!M14+'B合計'!M14+'液化石油ガス'!M14</f>
        <v>500617</v>
      </c>
      <c r="N14" s="53">
        <f>'P合計'!N14+'B合計'!N14+'液化石油ガス'!N14</f>
        <v>1624444</v>
      </c>
      <c r="O14" s="53">
        <f>'P合計'!O14+'B合計'!O14+'液化石油ガス'!O14</f>
        <v>0</v>
      </c>
      <c r="P14" s="62">
        <f>'P合計'!P14+'B合計'!P14+'液化石油ガス'!P14</f>
        <v>0</v>
      </c>
      <c r="Q14" s="70">
        <f>'P合計'!Q14+'B合計'!Q14+'液化石油ガス'!Q14</f>
        <v>3990369</v>
      </c>
      <c r="R14" s="66">
        <f>'P合計'!R14+'B合計'!R14+'液化石油ガス'!R14</f>
        <v>4975820</v>
      </c>
      <c r="S14" s="5"/>
    </row>
    <row r="15" spans="1:19" ht="13.5" customHeight="1" thickBot="1">
      <c r="A15" s="103"/>
      <c r="B15" s="18" t="s">
        <v>42</v>
      </c>
      <c r="C15" s="32" t="s">
        <v>3</v>
      </c>
      <c r="D15" s="57">
        <f aca="true" t="shared" si="3" ref="D15:R15">IF(D13=0,"",(D14/D13)*1000)</f>
        <v>45314.342208120666</v>
      </c>
      <c r="E15" s="52">
        <f t="shared" si="3"/>
      </c>
      <c r="F15" s="52">
        <f t="shared" si="3"/>
      </c>
      <c r="G15" s="52">
        <f t="shared" si="3"/>
      </c>
      <c r="H15" s="52">
        <f t="shared" si="3"/>
      </c>
      <c r="I15" s="61">
        <f t="shared" si="3"/>
      </c>
      <c r="J15" s="69">
        <f t="shared" si="3"/>
        <v>45314.342208120666</v>
      </c>
      <c r="K15" s="65">
        <f t="shared" si="3"/>
      </c>
      <c r="L15" s="52">
        <f t="shared" si="3"/>
        <v>62587.92738986009</v>
      </c>
      <c r="M15" s="52">
        <f t="shared" si="3"/>
        <v>63113.590519415025</v>
      </c>
      <c r="N15" s="52">
        <f t="shared" si="3"/>
        <v>68750.8041306924</v>
      </c>
      <c r="O15" s="52">
        <f t="shared" si="3"/>
      </c>
      <c r="P15" s="61">
        <f t="shared" si="3"/>
      </c>
      <c r="Q15" s="69">
        <f t="shared" si="3"/>
        <v>65028.90992943631</v>
      </c>
      <c r="R15" s="65">
        <f t="shared" si="3"/>
        <v>59870.292383588014</v>
      </c>
      <c r="S15" s="5"/>
    </row>
    <row r="16" spans="1:19" ht="13.5" customHeight="1">
      <c r="A16" s="101" t="s">
        <v>95</v>
      </c>
      <c r="B16" s="30" t="s">
        <v>9</v>
      </c>
      <c r="C16" s="31" t="s">
        <v>1</v>
      </c>
      <c r="D16" s="56">
        <f>'P合計'!D16+'B合計'!D16+'液化石油ガス'!D16</f>
        <v>209696</v>
      </c>
      <c r="E16" s="51">
        <f>'P合計'!E16+'B合計'!E16+'液化石油ガス'!E16</f>
        <v>140648</v>
      </c>
      <c r="F16" s="51">
        <f>'P合計'!F16+'B合計'!F16+'液化石油ガス'!F16</f>
        <v>283382</v>
      </c>
      <c r="G16" s="51">
        <f>'P合計'!G16+'B合計'!G16+'液化石油ガス'!G16</f>
        <v>211257</v>
      </c>
      <c r="H16" s="51">
        <f>'P合計'!H16+'B合計'!H16+'液化石油ガス'!H16</f>
        <v>156039</v>
      </c>
      <c r="I16" s="60">
        <f>'P合計'!I16+'B合計'!I16+'液化石油ガス'!I16</f>
        <v>243613</v>
      </c>
      <c r="J16" s="68">
        <f>'P合計'!J16+'B合計'!J16+'液化石油ガス'!J16</f>
        <v>1244635</v>
      </c>
      <c r="K16" s="64">
        <f>'P合計'!K16+'B合計'!K16+'液化石油ガス'!K16</f>
        <v>227077</v>
      </c>
      <c r="L16" s="51">
        <f>'P合計'!L16+'B合計'!L16+'液化石油ガス'!L16</f>
        <v>332109</v>
      </c>
      <c r="M16" s="51">
        <f>'P合計'!M16+'B合計'!M16+'液化石油ガス'!M16</f>
        <v>164321</v>
      </c>
      <c r="N16" s="51">
        <f>'P合計'!N16+'B合計'!N16+'液化石油ガス'!N16</f>
        <v>232505</v>
      </c>
      <c r="O16" s="51">
        <f>'P合計'!O16+'B合計'!O16+'液化石油ガス'!O16</f>
        <v>206275</v>
      </c>
      <c r="P16" s="60">
        <f>'P合計'!P16+'B合計'!P16+'液化石油ガス'!P16</f>
        <v>401675</v>
      </c>
      <c r="Q16" s="68">
        <f>'P合計'!Q16+'B合計'!Q16+'液化石油ガス'!Q16</f>
        <v>1563962</v>
      </c>
      <c r="R16" s="64">
        <f>'P合計'!R16+'B合計'!R16+'液化石油ガス'!R16</f>
        <v>2808597</v>
      </c>
      <c r="S16" s="5"/>
    </row>
    <row r="17" spans="1:19" ht="13.5" customHeight="1">
      <c r="A17" s="102"/>
      <c r="B17" s="30" t="s">
        <v>10</v>
      </c>
      <c r="C17" s="31" t="s">
        <v>2</v>
      </c>
      <c r="D17" s="56">
        <f>'P合計'!D17+'B合計'!D17+'液化石油ガス'!D17</f>
        <v>9381281</v>
      </c>
      <c r="E17" s="51">
        <f>'P合計'!E17+'B合計'!E17+'液化石油ガス'!E17</f>
        <v>5880397</v>
      </c>
      <c r="F17" s="51">
        <f>'P合計'!F17+'B合計'!F17+'液化石油ガス'!F17</f>
        <v>11970747</v>
      </c>
      <c r="G17" s="51">
        <f>'P合計'!G17+'B合計'!G17+'液化石油ガス'!G17</f>
        <v>9901098</v>
      </c>
      <c r="H17" s="51">
        <f>'P合計'!H17+'B合計'!H17+'液化石油ガス'!H17</f>
        <v>8229507</v>
      </c>
      <c r="I17" s="60">
        <f>'P合計'!I17+'B合計'!I17+'液化石油ガス'!I17</f>
        <v>12989408</v>
      </c>
      <c r="J17" s="68">
        <f>'P合計'!J17+'B合計'!J17+'液化石油ガス'!J17</f>
        <v>58352438</v>
      </c>
      <c r="K17" s="64">
        <f>'P合計'!K17+'B合計'!K17+'液化石油ガス'!K17</f>
        <v>12076561</v>
      </c>
      <c r="L17" s="51">
        <f>'P合計'!L17+'B合計'!L17+'液化石油ガス'!L17</f>
        <v>19749848</v>
      </c>
      <c r="M17" s="51">
        <f>'P合計'!M17+'B合計'!M17+'液化石油ガス'!M17</f>
        <v>9388754</v>
      </c>
      <c r="N17" s="51">
        <f>'P合計'!N17+'B合計'!N17+'液化石油ガス'!N17</f>
        <v>15426885</v>
      </c>
      <c r="O17" s="51">
        <f>'P合計'!O17+'B合計'!O17+'液化石油ガス'!O17</f>
        <v>13722918</v>
      </c>
      <c r="P17" s="60">
        <f>'P合計'!P17+'B合計'!P17+'液化石油ガス'!P17</f>
        <v>26425384</v>
      </c>
      <c r="Q17" s="68">
        <f>'P合計'!Q17+'B合計'!Q17+'液化石油ガス'!Q17</f>
        <v>96790350</v>
      </c>
      <c r="R17" s="64">
        <f>'P合計'!R17+'B合計'!R17+'液化石油ガス'!R17</f>
        <v>155142788</v>
      </c>
      <c r="S17" s="5"/>
    </row>
    <row r="18" spans="1:19" ht="13.5" customHeight="1" thickBot="1">
      <c r="A18" s="103"/>
      <c r="B18" s="18" t="s">
        <v>42</v>
      </c>
      <c r="C18" s="32" t="s">
        <v>3</v>
      </c>
      <c r="D18" s="57">
        <f aca="true" t="shared" si="4" ref="D18:R18">IF(D16=0,"",(D17/D16)*1000)</f>
        <v>44737.52956661071</v>
      </c>
      <c r="E18" s="52">
        <f t="shared" si="4"/>
        <v>41809.31829816278</v>
      </c>
      <c r="F18" s="52">
        <f t="shared" si="4"/>
        <v>42242.43953391535</v>
      </c>
      <c r="G18" s="52">
        <f t="shared" si="4"/>
        <v>46867.54995100754</v>
      </c>
      <c r="H18" s="52">
        <f t="shared" si="4"/>
        <v>52740.06498375406</v>
      </c>
      <c r="I18" s="61">
        <f t="shared" si="4"/>
        <v>53319.84746298432</v>
      </c>
      <c r="J18" s="69">
        <f t="shared" si="4"/>
        <v>46883.1729784234</v>
      </c>
      <c r="K18" s="65">
        <f t="shared" si="4"/>
        <v>53182.66931481392</v>
      </c>
      <c r="L18" s="52">
        <f t="shared" si="4"/>
        <v>59467.96985327107</v>
      </c>
      <c r="M18" s="52">
        <f t="shared" si="4"/>
        <v>57136.66542925128</v>
      </c>
      <c r="N18" s="52">
        <f t="shared" si="4"/>
        <v>66350.76665017956</v>
      </c>
      <c r="O18" s="52">
        <f t="shared" si="4"/>
        <v>66527.29608532299</v>
      </c>
      <c r="P18" s="61">
        <f t="shared" si="4"/>
        <v>65787.97286363353</v>
      </c>
      <c r="Q18" s="69">
        <f t="shared" si="4"/>
        <v>61887.91671408896</v>
      </c>
      <c r="R18" s="65">
        <f t="shared" si="4"/>
        <v>55238.53653621363</v>
      </c>
      <c r="S18" s="5"/>
    </row>
    <row r="19" spans="1:19" ht="13.5" customHeight="1">
      <c r="A19" s="110" t="s">
        <v>45</v>
      </c>
      <c r="B19" s="30" t="s">
        <v>9</v>
      </c>
      <c r="C19" s="31" t="s">
        <v>1</v>
      </c>
      <c r="D19" s="56">
        <f>'P合計'!D19+'B合計'!D19+'液化石油ガス'!D19</f>
        <v>137830</v>
      </c>
      <c r="E19" s="51">
        <f>'P合計'!E19+'B合計'!E19+'液化石油ガス'!E19</f>
        <v>136527</v>
      </c>
      <c r="F19" s="51">
        <f>'P合計'!F19+'B合計'!F19+'液化石油ガス'!F19</f>
        <v>262237</v>
      </c>
      <c r="G19" s="51">
        <f>'P合計'!G19+'B合計'!G19+'液化石油ガス'!G19</f>
        <v>255081</v>
      </c>
      <c r="H19" s="51">
        <f>'P合計'!H19+'B合計'!H19+'液化石油ガス'!H19</f>
        <v>235283</v>
      </c>
      <c r="I19" s="60">
        <f>'P合計'!I19+'B合計'!I19+'液化石油ガス'!I19</f>
        <v>214160</v>
      </c>
      <c r="J19" s="68">
        <f>'P合計'!J19+'B合計'!J19+'液化石油ガス'!J19</f>
        <v>1241118</v>
      </c>
      <c r="K19" s="64">
        <f>'P合計'!K19+'B合計'!K19+'液化石油ガス'!K19</f>
        <v>200580</v>
      </c>
      <c r="L19" s="51">
        <f>'P合計'!L19+'B合計'!L19+'液化石油ガス'!L19</f>
        <v>207315</v>
      </c>
      <c r="M19" s="51">
        <f>'P合計'!M19+'B合計'!M19+'液化石油ガス'!M19</f>
        <v>213434</v>
      </c>
      <c r="N19" s="51">
        <f>'P合計'!N19+'B合計'!N19+'液化石油ガス'!N19</f>
        <v>240829</v>
      </c>
      <c r="O19" s="51">
        <f>'P合計'!O19+'B合計'!O19+'液化石油ガス'!O19</f>
        <v>86019</v>
      </c>
      <c r="P19" s="60">
        <f>'P合計'!P19+'B合計'!P19+'液化石油ガス'!P19</f>
        <v>257029</v>
      </c>
      <c r="Q19" s="68">
        <f>'P合計'!Q19+'B合計'!Q19+'液化石油ガス'!Q19</f>
        <v>1205206</v>
      </c>
      <c r="R19" s="64">
        <f>'P合計'!R19+'B合計'!R19+'液化石油ガス'!R19</f>
        <v>2446324</v>
      </c>
      <c r="S19" s="5"/>
    </row>
    <row r="20" spans="1:19" ht="13.5" customHeight="1">
      <c r="A20" s="111"/>
      <c r="B20" s="30" t="s">
        <v>10</v>
      </c>
      <c r="C20" s="31" t="s">
        <v>2</v>
      </c>
      <c r="D20" s="56">
        <f>'P合計'!D20+'B合計'!D20+'液化石油ガス'!D20</f>
        <v>6408499</v>
      </c>
      <c r="E20" s="51">
        <f>'P合計'!E20+'B合計'!E20+'液化石油ガス'!E20</f>
        <v>5799435</v>
      </c>
      <c r="F20" s="51">
        <f>'P合計'!F20+'B合計'!F20+'液化石油ガス'!F20</f>
        <v>11443773</v>
      </c>
      <c r="G20" s="51">
        <f>'P合計'!G20+'B合計'!G20+'液化石油ガス'!G20</f>
        <v>11355014</v>
      </c>
      <c r="H20" s="51">
        <f>'P合計'!H20+'B合計'!H20+'液化石油ガス'!H20</f>
        <v>11312711</v>
      </c>
      <c r="I20" s="60">
        <f>'P合計'!I20+'B合計'!I20+'液化石油ガス'!I20</f>
        <v>10578325</v>
      </c>
      <c r="J20" s="68">
        <f>'P合計'!J20+'B合計'!J20+'液化石油ガス'!J20</f>
        <v>56897757</v>
      </c>
      <c r="K20" s="64">
        <f>'P合計'!K20+'B合計'!K20+'液化石油ガス'!K20</f>
        <v>10335795</v>
      </c>
      <c r="L20" s="51">
        <f>'P合計'!L20+'B合計'!L20+'液化石油ガス'!L20</f>
        <v>11055995</v>
      </c>
      <c r="M20" s="51">
        <f>'P合計'!M20+'B合計'!M20+'液化石油ガス'!M20</f>
        <v>12379534</v>
      </c>
      <c r="N20" s="51">
        <f>'P合計'!N20+'B合計'!N20+'液化石油ガス'!N20</f>
        <v>14488554</v>
      </c>
      <c r="O20" s="51">
        <f>'P合計'!O20+'B合計'!O20+'液化石油ガス'!O20</f>
        <v>5668500</v>
      </c>
      <c r="P20" s="60">
        <f>'P合計'!P20+'B合計'!P20+'液化石油ガス'!P20</f>
        <v>17481937</v>
      </c>
      <c r="Q20" s="68">
        <f>'P合計'!Q20+'B合計'!Q20+'液化石油ガス'!Q20</f>
        <v>71410315</v>
      </c>
      <c r="R20" s="64">
        <f>'P合計'!R20+'B合計'!R20+'液化石油ガス'!R20</f>
        <v>128308072</v>
      </c>
      <c r="S20" s="5"/>
    </row>
    <row r="21" spans="1:19" ht="13.5" customHeight="1" thickBot="1">
      <c r="A21" s="112"/>
      <c r="B21" s="18" t="s">
        <v>42</v>
      </c>
      <c r="C21" s="32" t="s">
        <v>3</v>
      </c>
      <c r="D21" s="57">
        <f aca="true" t="shared" si="5" ref="D21:R21">IF(D19=0,"",(D20/D19)*1000)</f>
        <v>46495.67583254734</v>
      </c>
      <c r="E21" s="52">
        <f t="shared" si="5"/>
        <v>42478.3009954075</v>
      </c>
      <c r="F21" s="52">
        <f t="shared" si="5"/>
        <v>43639.04788416585</v>
      </c>
      <c r="G21" s="52">
        <f t="shared" si="5"/>
        <v>44515.32650413006</v>
      </c>
      <c r="H21" s="52">
        <f t="shared" si="5"/>
        <v>48081.29359112218</v>
      </c>
      <c r="I21" s="61">
        <f t="shared" si="5"/>
        <v>49394.49477026523</v>
      </c>
      <c r="J21" s="69">
        <f t="shared" si="5"/>
        <v>45843.95440240171</v>
      </c>
      <c r="K21" s="65">
        <f t="shared" si="5"/>
        <v>51529.539335925816</v>
      </c>
      <c r="L21" s="52">
        <f t="shared" si="5"/>
        <v>53329.45035332706</v>
      </c>
      <c r="M21" s="52">
        <f t="shared" si="5"/>
        <v>58001.69607466477</v>
      </c>
      <c r="N21" s="52">
        <f t="shared" si="5"/>
        <v>60161.16829783788</v>
      </c>
      <c r="O21" s="52">
        <f t="shared" si="5"/>
        <v>65898.23178600076</v>
      </c>
      <c r="P21" s="61">
        <f t="shared" si="5"/>
        <v>68015.42627485615</v>
      </c>
      <c r="Q21" s="69">
        <f t="shared" si="5"/>
        <v>59251.542889763245</v>
      </c>
      <c r="R21" s="65">
        <f t="shared" si="5"/>
        <v>52449.3370461149</v>
      </c>
      <c r="S21" s="5"/>
    </row>
    <row r="22" spans="1:19" ht="13.5" customHeight="1">
      <c r="A22" s="101" t="s">
        <v>53</v>
      </c>
      <c r="B22" s="30" t="s">
        <v>9</v>
      </c>
      <c r="C22" s="31" t="s">
        <v>1</v>
      </c>
      <c r="D22" s="56">
        <f>'P合計'!D22+'B合計'!D22+'液化石油ガス'!D22</f>
        <v>98320</v>
      </c>
      <c r="E22" s="51">
        <f>'P合計'!E22+'B合計'!E22+'液化石油ガス'!E22</f>
        <v>87688</v>
      </c>
      <c r="F22" s="51">
        <f>'P合計'!F22+'B合計'!F22+'液化石油ガス'!F22</f>
        <v>40813</v>
      </c>
      <c r="G22" s="51">
        <f>'P合計'!G22+'B合計'!G22+'液化石油ガス'!G22</f>
        <v>102337</v>
      </c>
      <c r="H22" s="51">
        <f>'P合計'!H22+'B合計'!H22+'液化石油ガス'!H22</f>
        <v>133558</v>
      </c>
      <c r="I22" s="60">
        <f>'P合計'!I22+'B合計'!I22+'液化石油ガス'!I22</f>
        <v>83757</v>
      </c>
      <c r="J22" s="68">
        <f>'P合計'!J22+'B合計'!J22+'液化石油ガス'!J22</f>
        <v>546473</v>
      </c>
      <c r="K22" s="64">
        <f>'P合計'!K22+'B合計'!K22+'液化石油ガス'!K22</f>
        <v>129065</v>
      </c>
      <c r="L22" s="51">
        <f>'P合計'!L22+'B合計'!L22+'液化石油ガス'!L22</f>
        <v>71352</v>
      </c>
      <c r="M22" s="51">
        <f>'P合計'!M22+'B合計'!M22+'液化石油ガス'!M22</f>
        <v>130639</v>
      </c>
      <c r="N22" s="51">
        <f>'P合計'!N22+'B合計'!N22+'液化石油ガス'!N22</f>
        <v>119022</v>
      </c>
      <c r="O22" s="51">
        <f>'P合計'!O22+'B合計'!O22+'液化石油ガス'!O22</f>
        <v>67598</v>
      </c>
      <c r="P22" s="60">
        <f>'P合計'!P22+'B合計'!P22+'液化石油ガス'!P22</f>
        <v>126143</v>
      </c>
      <c r="Q22" s="68">
        <f>'P合計'!Q22+'B合計'!Q22+'液化石油ガス'!Q22</f>
        <v>643819</v>
      </c>
      <c r="R22" s="64">
        <f>'P合計'!R22+'B合計'!R22+'液化石油ガス'!R22</f>
        <v>1190292</v>
      </c>
      <c r="S22" s="5"/>
    </row>
    <row r="23" spans="1:19" ht="13.5" customHeight="1">
      <c r="A23" s="102"/>
      <c r="B23" s="30" t="s">
        <v>10</v>
      </c>
      <c r="C23" s="31" t="s">
        <v>2</v>
      </c>
      <c r="D23" s="56">
        <f>'P合計'!D23+'B合計'!D23+'液化石油ガス'!D23</f>
        <v>4628957</v>
      </c>
      <c r="E23" s="51">
        <f>'P合計'!E23+'B合計'!E23+'液化石油ガス'!E23</f>
        <v>4033786</v>
      </c>
      <c r="F23" s="51">
        <f>'P合計'!F23+'B合計'!F23+'液化石油ガス'!F23</f>
        <v>1635292</v>
      </c>
      <c r="G23" s="51">
        <f>'P合計'!G23+'B合計'!G23+'液化石油ガス'!G23</f>
        <v>4802328</v>
      </c>
      <c r="H23" s="51">
        <f>'P合計'!H23+'B合計'!H23+'液化石油ガス'!H23</f>
        <v>7217480</v>
      </c>
      <c r="I23" s="60">
        <f>'P合計'!I23+'B合計'!I23+'液化石油ガス'!I23</f>
        <v>4465610</v>
      </c>
      <c r="J23" s="68">
        <f>'P合計'!J23+'B合計'!J23+'液化石油ガス'!J23</f>
        <v>26783453</v>
      </c>
      <c r="K23" s="64">
        <f>'P合計'!K23+'B合計'!K23+'液化石油ガス'!K23</f>
        <v>6888288</v>
      </c>
      <c r="L23" s="51">
        <f>'P合計'!L23+'B合計'!L23+'液化石油ガス'!L23</f>
        <v>3914005</v>
      </c>
      <c r="M23" s="51">
        <f>'P合計'!M23+'B合計'!M23+'液化石油ガス'!M23</f>
        <v>8001269</v>
      </c>
      <c r="N23" s="51">
        <f>'P合計'!N23+'B合計'!N23+'液化石油ガス'!N23</f>
        <v>7904529</v>
      </c>
      <c r="O23" s="51">
        <f>'P合計'!O23+'B合計'!O23+'液化石油ガス'!O23</f>
        <v>4679349</v>
      </c>
      <c r="P23" s="60">
        <f>'P合計'!P23+'B合計'!P23+'液化石油ガス'!P23</f>
        <v>8633977</v>
      </c>
      <c r="Q23" s="68">
        <f>'P合計'!Q23+'B合計'!Q23+'液化石油ガス'!Q23</f>
        <v>40021417</v>
      </c>
      <c r="R23" s="64">
        <f>'P合計'!R23+'B合計'!R23+'液化石油ガス'!R23</f>
        <v>66804870</v>
      </c>
      <c r="S23" s="5"/>
    </row>
    <row r="24" spans="1:19" ht="13.5" customHeight="1" thickBot="1">
      <c r="A24" s="103"/>
      <c r="B24" s="18" t="s">
        <v>42</v>
      </c>
      <c r="C24" s="32" t="s">
        <v>3</v>
      </c>
      <c r="D24" s="57">
        <f aca="true" t="shared" si="6" ref="D24:R24">IF(D22=0,"",(D23/D22)*1000)</f>
        <v>47080.5227827502</v>
      </c>
      <c r="E24" s="52">
        <f t="shared" si="6"/>
        <v>46001.573761518106</v>
      </c>
      <c r="F24" s="52">
        <f t="shared" si="6"/>
        <v>40067.91953544214</v>
      </c>
      <c r="G24" s="52">
        <f t="shared" si="6"/>
        <v>46926.60523564302</v>
      </c>
      <c r="H24" s="52">
        <f t="shared" si="6"/>
        <v>54040.04252833975</v>
      </c>
      <c r="I24" s="61">
        <f t="shared" si="6"/>
        <v>53316.26013348138</v>
      </c>
      <c r="J24" s="69">
        <f t="shared" si="6"/>
        <v>49011.48455641907</v>
      </c>
      <c r="K24" s="65">
        <f t="shared" si="6"/>
        <v>53370.68918761864</v>
      </c>
      <c r="L24" s="52">
        <f t="shared" si="6"/>
        <v>54854.87442538401</v>
      </c>
      <c r="M24" s="52">
        <f t="shared" si="6"/>
        <v>61247.16968133559</v>
      </c>
      <c r="N24" s="52">
        <f t="shared" si="6"/>
        <v>66412.33553460705</v>
      </c>
      <c r="O24" s="52">
        <f t="shared" si="6"/>
        <v>69223.18707654072</v>
      </c>
      <c r="P24" s="61">
        <f t="shared" si="6"/>
        <v>68445.94626733153</v>
      </c>
      <c r="Q24" s="69">
        <f t="shared" si="6"/>
        <v>62162.52859887639</v>
      </c>
      <c r="R24" s="65">
        <f t="shared" si="6"/>
        <v>56124.77442509905</v>
      </c>
      <c r="S24" s="5"/>
    </row>
    <row r="25" spans="1:19" ht="13.5" customHeight="1">
      <c r="A25" s="101" t="s">
        <v>54</v>
      </c>
      <c r="B25" s="30" t="s">
        <v>9</v>
      </c>
      <c r="C25" s="31" t="s">
        <v>1</v>
      </c>
      <c r="D25" s="56">
        <f>'P合計'!D25+'B合計'!D25+'液化石油ガス'!D25</f>
        <v>677</v>
      </c>
      <c r="E25" s="51">
        <f>'P合計'!E25+'B合計'!E25+'液化石油ガス'!E25</f>
        <v>0</v>
      </c>
      <c r="F25" s="51">
        <f>'P合計'!F25+'B合計'!F25+'液化石油ガス'!F25</f>
        <v>0</v>
      </c>
      <c r="G25" s="51">
        <f>'P合計'!G25+'B合計'!G25+'液化石油ガス'!G25</f>
        <v>0</v>
      </c>
      <c r="H25" s="51">
        <f>'P合計'!H25+'B合計'!H25+'液化石油ガス'!H25</f>
        <v>0</v>
      </c>
      <c r="I25" s="60">
        <f>'P合計'!I25+'B合計'!I25+'液化石油ガス'!I25</f>
        <v>0</v>
      </c>
      <c r="J25" s="68">
        <f>'P合計'!J25+'B合計'!J25+'液化石油ガス'!J25</f>
        <v>677</v>
      </c>
      <c r="K25" s="64">
        <f>'P合計'!K25+'B合計'!K25+'液化石油ガス'!K25</f>
        <v>0</v>
      </c>
      <c r="L25" s="51">
        <f>'P合計'!L25+'B合計'!L25+'液化石油ガス'!L25</f>
        <v>0</v>
      </c>
      <c r="M25" s="51">
        <f>'P合計'!M25+'B合計'!M25+'液化石油ガス'!M25</f>
        <v>0</v>
      </c>
      <c r="N25" s="51">
        <f>'P合計'!N25+'B合計'!N25+'液化石油ガス'!N25</f>
        <v>441</v>
      </c>
      <c r="O25" s="51">
        <f>'P合計'!O25+'B合計'!O25+'液化石油ガス'!O25</f>
        <v>0</v>
      </c>
      <c r="P25" s="60">
        <f>'P合計'!P25+'B合計'!P25+'液化石油ガス'!P25</f>
        <v>0</v>
      </c>
      <c r="Q25" s="68">
        <f>'P合計'!Q25+'B合計'!Q25+'液化石油ガス'!Q25</f>
        <v>441</v>
      </c>
      <c r="R25" s="64">
        <f>'P合計'!R25+'B合計'!R25+'液化石油ガス'!R25</f>
        <v>1118</v>
      </c>
      <c r="S25" s="5"/>
    </row>
    <row r="26" spans="1:19" ht="13.5" customHeight="1">
      <c r="A26" s="102"/>
      <c r="B26" s="30" t="s">
        <v>10</v>
      </c>
      <c r="C26" s="31" t="s">
        <v>2</v>
      </c>
      <c r="D26" s="56">
        <f>'P合計'!D26+'B合計'!D26+'液化石油ガス'!D26</f>
        <v>36275</v>
      </c>
      <c r="E26" s="51">
        <f>'P合計'!E26+'B合計'!E26+'液化石油ガス'!E26</f>
        <v>0</v>
      </c>
      <c r="F26" s="51">
        <f>'P合計'!F26+'B合計'!F26+'液化石油ガス'!F26</f>
        <v>0</v>
      </c>
      <c r="G26" s="51">
        <f>'P合計'!G26+'B合計'!G26+'液化石油ガス'!G26</f>
        <v>0</v>
      </c>
      <c r="H26" s="51">
        <f>'P合計'!H26+'B合計'!H26+'液化石油ガス'!H26</f>
        <v>0</v>
      </c>
      <c r="I26" s="60">
        <f>'P合計'!I26+'B合計'!I26+'液化石油ガス'!I26</f>
        <v>0</v>
      </c>
      <c r="J26" s="68">
        <f>'P合計'!J26+'B合計'!J26+'液化石油ガス'!J26</f>
        <v>36275</v>
      </c>
      <c r="K26" s="64">
        <f>'P合計'!K26+'B合計'!K26+'液化石油ガス'!K26</f>
        <v>0</v>
      </c>
      <c r="L26" s="51">
        <f>'P合計'!L26+'B合計'!L26+'液化石油ガス'!L26</f>
        <v>0</v>
      </c>
      <c r="M26" s="51">
        <f>'P合計'!M26+'B合計'!M26+'液化石油ガス'!M26</f>
        <v>0</v>
      </c>
      <c r="N26" s="51">
        <f>'P合計'!N26+'B合計'!N26+'液化石油ガス'!N26</f>
        <v>24912</v>
      </c>
      <c r="O26" s="51">
        <f>'P合計'!O26+'B合計'!O26+'液化石油ガス'!O26</f>
        <v>0</v>
      </c>
      <c r="P26" s="60">
        <f>'P合計'!P26+'B合計'!P26+'液化石油ガス'!P26</f>
        <v>0</v>
      </c>
      <c r="Q26" s="68">
        <f>'P合計'!Q26+'B合計'!Q26+'液化石油ガス'!Q26</f>
        <v>24912</v>
      </c>
      <c r="R26" s="64">
        <f>'P合計'!R26+'B合計'!R26+'液化石油ガス'!R26</f>
        <v>61187</v>
      </c>
      <c r="S26" s="5"/>
    </row>
    <row r="27" spans="1:19" ht="13.5" customHeight="1" thickBot="1">
      <c r="A27" s="103"/>
      <c r="B27" s="18" t="s">
        <v>42</v>
      </c>
      <c r="C27" s="32" t="s">
        <v>3</v>
      </c>
      <c r="D27" s="57">
        <f aca="true" t="shared" si="7" ref="D27:R27">IF(D25=0,"",(D26/D25)*1000)</f>
        <v>53581.979320531755</v>
      </c>
      <c r="E27" s="52">
        <f t="shared" si="7"/>
      </c>
      <c r="F27" s="52">
        <f t="shared" si="7"/>
      </c>
      <c r="G27" s="52">
        <f t="shared" si="7"/>
      </c>
      <c r="H27" s="52">
        <f t="shared" si="7"/>
      </c>
      <c r="I27" s="61">
        <f t="shared" si="7"/>
      </c>
      <c r="J27" s="69">
        <f t="shared" si="7"/>
        <v>53581.979320531755</v>
      </c>
      <c r="K27" s="65">
        <f t="shared" si="7"/>
      </c>
      <c r="L27" s="52">
        <f t="shared" si="7"/>
      </c>
      <c r="M27" s="52">
        <f t="shared" si="7"/>
      </c>
      <c r="N27" s="52">
        <f t="shared" si="7"/>
        <v>56489.79591836735</v>
      </c>
      <c r="O27" s="52">
        <f t="shared" si="7"/>
      </c>
      <c r="P27" s="61">
        <f t="shared" si="7"/>
      </c>
      <c r="Q27" s="69">
        <f t="shared" si="7"/>
        <v>56489.79591836735</v>
      </c>
      <c r="R27" s="65">
        <f t="shared" si="7"/>
        <v>54728.98032200358</v>
      </c>
      <c r="S27" s="5"/>
    </row>
    <row r="28" spans="1:19" ht="13.5" customHeight="1">
      <c r="A28" s="101" t="s">
        <v>11</v>
      </c>
      <c r="B28" s="30" t="s">
        <v>9</v>
      </c>
      <c r="C28" s="31" t="s">
        <v>1</v>
      </c>
      <c r="D28" s="56">
        <f>'P合計'!D28+'B合計'!D28+'液化石油ガス'!D28</f>
        <v>682</v>
      </c>
      <c r="E28" s="51">
        <f>'P合計'!E28+'B合計'!E28+'液化石油ガス'!E28</f>
        <v>486</v>
      </c>
      <c r="F28" s="51">
        <f>'P合計'!F28+'B合計'!F28+'液化石油ガス'!F28</f>
        <v>540</v>
      </c>
      <c r="G28" s="51">
        <f>'P合計'!G28+'B合計'!G28+'液化石油ガス'!G28</f>
        <v>551</v>
      </c>
      <c r="H28" s="51">
        <f>'P合計'!H28+'B合計'!H28+'液化石油ガス'!H28</f>
        <v>920</v>
      </c>
      <c r="I28" s="60">
        <f>'P合計'!I28+'B合計'!I28+'液化石油ガス'!I28</f>
        <v>1044</v>
      </c>
      <c r="J28" s="68">
        <f>'P合計'!J28+'B合計'!J28+'液化石油ガス'!J28</f>
        <v>4223</v>
      </c>
      <c r="K28" s="64">
        <f>'P合計'!K28+'B合計'!K28+'液化石油ガス'!K28</f>
        <v>1703</v>
      </c>
      <c r="L28" s="51">
        <f>'P合計'!L28+'B合計'!L28+'液化石油ガス'!L28</f>
        <v>2157</v>
      </c>
      <c r="M28" s="51">
        <f>'P合計'!M28+'B合計'!M28+'液化石油ガス'!M28</f>
        <v>2830</v>
      </c>
      <c r="N28" s="51">
        <f>'P合計'!N28+'B合計'!N28+'液化石油ガス'!N28</f>
        <v>1115</v>
      </c>
      <c r="O28" s="51">
        <f>'P合計'!O28+'B合計'!O28+'液化石油ガス'!O28</f>
        <v>708</v>
      </c>
      <c r="P28" s="60">
        <f>'P合計'!P28+'B合計'!P28+'液化石油ガス'!P28</f>
        <v>721</v>
      </c>
      <c r="Q28" s="68">
        <f>'P合計'!Q28+'B合計'!Q28+'液化石油ガス'!Q28</f>
        <v>9234</v>
      </c>
      <c r="R28" s="64">
        <f>'P合計'!R28+'B合計'!R28+'液化石油ガス'!R28</f>
        <v>13457</v>
      </c>
      <c r="S28" s="5"/>
    </row>
    <row r="29" spans="1:19" ht="13.5" customHeight="1">
      <c r="A29" s="102"/>
      <c r="B29" s="30" t="s">
        <v>10</v>
      </c>
      <c r="C29" s="31" t="s">
        <v>2</v>
      </c>
      <c r="D29" s="56">
        <f>'P合計'!D29+'B合計'!D29+'液化石油ガス'!D29</f>
        <v>174645</v>
      </c>
      <c r="E29" s="51">
        <f>'P合計'!E29+'B合計'!E29+'液化石油ガス'!E29</f>
        <v>127231</v>
      </c>
      <c r="F29" s="51">
        <f>'P合計'!F29+'B合計'!F29+'液化石油ガス'!F29</f>
        <v>140723</v>
      </c>
      <c r="G29" s="51">
        <f>'P合計'!G29+'B合計'!G29+'液化石油ガス'!G29</f>
        <v>139695</v>
      </c>
      <c r="H29" s="51">
        <f>'P合計'!H29+'B合計'!H29+'液化石油ガス'!H29</f>
        <v>229925</v>
      </c>
      <c r="I29" s="60">
        <f>'P合計'!I29+'B合計'!I29+'液化石油ガス'!I29</f>
        <v>258581</v>
      </c>
      <c r="J29" s="68">
        <f>'P合計'!J29+'B合計'!J29+'液化石油ガス'!J29</f>
        <v>1070800</v>
      </c>
      <c r="K29" s="64">
        <f>'P合計'!K29+'B合計'!K29+'液化石油ガス'!K29</f>
        <v>420506</v>
      </c>
      <c r="L29" s="51">
        <f>'P合計'!L29+'B合計'!L29+'液化石油ガス'!L29</f>
        <v>530963</v>
      </c>
      <c r="M29" s="51">
        <f>'P合計'!M29+'B合計'!M29+'液化石油ガス'!M29</f>
        <v>689418</v>
      </c>
      <c r="N29" s="51">
        <f>'P合計'!N29+'B合計'!N29+'液化石油ガス'!N29</f>
        <v>268627</v>
      </c>
      <c r="O29" s="51">
        <f>'P合計'!O29+'B合計'!O29+'液化石油ガス'!O29</f>
        <v>174598</v>
      </c>
      <c r="P29" s="60">
        <f>'P合計'!P29+'B合計'!P29+'液化石油ガス'!P29</f>
        <v>177961</v>
      </c>
      <c r="Q29" s="68">
        <f>'P合計'!Q29+'B合計'!Q29+'液化石油ガス'!Q29</f>
        <v>2262073</v>
      </c>
      <c r="R29" s="64">
        <f>'P合計'!R29+'B合計'!R29+'液化石油ガス'!R29</f>
        <v>3332873</v>
      </c>
      <c r="S29" s="5"/>
    </row>
    <row r="30" spans="1:19" ht="13.5" customHeight="1" thickBot="1">
      <c r="A30" s="103"/>
      <c r="B30" s="18" t="s">
        <v>42</v>
      </c>
      <c r="C30" s="32" t="s">
        <v>3</v>
      </c>
      <c r="D30" s="57">
        <f aca="true" t="shared" si="8" ref="D30:R30">IF(D28=0,"",(D29/D28)*1000)</f>
        <v>256077.71260997065</v>
      </c>
      <c r="E30" s="52">
        <f t="shared" si="8"/>
        <v>261792.18106995887</v>
      </c>
      <c r="F30" s="52">
        <f t="shared" si="8"/>
        <v>260598.14814814815</v>
      </c>
      <c r="G30" s="52">
        <f t="shared" si="8"/>
        <v>253529.94555353903</v>
      </c>
      <c r="H30" s="52">
        <f t="shared" si="8"/>
        <v>249918.47826086957</v>
      </c>
      <c r="I30" s="61">
        <f t="shared" si="8"/>
        <v>247682.95019157088</v>
      </c>
      <c r="J30" s="69">
        <f t="shared" si="8"/>
        <v>253563.81719156998</v>
      </c>
      <c r="K30" s="65">
        <f t="shared" si="8"/>
        <v>246920.728126835</v>
      </c>
      <c r="L30" s="52">
        <f t="shared" si="8"/>
        <v>246158.0899397311</v>
      </c>
      <c r="M30" s="52">
        <f t="shared" si="8"/>
        <v>243610.60070671377</v>
      </c>
      <c r="N30" s="52">
        <f t="shared" si="8"/>
        <v>240921.07623318388</v>
      </c>
      <c r="O30" s="52">
        <f t="shared" si="8"/>
        <v>246607.34463276836</v>
      </c>
      <c r="P30" s="61">
        <f t="shared" si="8"/>
        <v>246825.2427184466</v>
      </c>
      <c r="Q30" s="69">
        <f t="shared" si="8"/>
        <v>244972.16807450727</v>
      </c>
      <c r="R30" s="65">
        <f t="shared" si="8"/>
        <v>247668.3510440663</v>
      </c>
      <c r="S30" s="5"/>
    </row>
    <row r="31" spans="1:19" ht="13.5" customHeight="1">
      <c r="A31" s="101" t="s">
        <v>55</v>
      </c>
      <c r="B31" s="30" t="s">
        <v>9</v>
      </c>
      <c r="C31" s="31" t="s">
        <v>1</v>
      </c>
      <c r="D31" s="56">
        <f>'P合計'!D31+'B合計'!D31+'液化石油ガス'!D31</f>
        <v>29914</v>
      </c>
      <c r="E31" s="51">
        <f>'P合計'!E31+'B合計'!E31+'液化石油ガス'!E31</f>
        <v>12079</v>
      </c>
      <c r="F31" s="51">
        <f>'P合計'!F31+'B合計'!F31+'液化石油ガス'!F31</f>
        <v>0</v>
      </c>
      <c r="G31" s="51">
        <f>'P合計'!G31+'B合計'!G31+'液化石油ガス'!G31</f>
        <v>0</v>
      </c>
      <c r="H31" s="51">
        <f>'P合計'!H31+'B合計'!H31+'液化石油ガス'!H31</f>
        <v>0</v>
      </c>
      <c r="I31" s="60">
        <f>'P合計'!I31+'B合計'!I31+'液化石油ガス'!I31</f>
        <v>0</v>
      </c>
      <c r="J31" s="68">
        <f>'P合計'!J31+'B合計'!J31+'液化石油ガス'!J31</f>
        <v>41993</v>
      </c>
      <c r="K31" s="64">
        <f>'P合計'!K31+'B合計'!K31+'液化石油ガス'!K31</f>
        <v>44967</v>
      </c>
      <c r="L31" s="51">
        <f>'P合計'!L31+'B合計'!L31+'液化石油ガス'!L31</f>
        <v>0</v>
      </c>
      <c r="M31" s="51">
        <f>'P合計'!M31+'B合計'!M31+'液化石油ガス'!M31</f>
        <v>69086</v>
      </c>
      <c r="N31" s="51">
        <f>'P合計'!N31+'B合計'!N31+'液化石油ガス'!N31</f>
        <v>23156</v>
      </c>
      <c r="O31" s="51">
        <f>'P合計'!O31+'B合計'!O31+'液化石油ガス'!O31</f>
        <v>0</v>
      </c>
      <c r="P31" s="60">
        <f>'P合計'!P31+'B合計'!P31+'液化石油ガス'!P31</f>
        <v>0</v>
      </c>
      <c r="Q31" s="68">
        <f>'P合計'!Q31+'B合計'!Q31+'液化石油ガス'!Q31</f>
        <v>137209</v>
      </c>
      <c r="R31" s="64">
        <f>'P合計'!R31+'B合計'!R31+'液化石油ガス'!R31</f>
        <v>179202</v>
      </c>
      <c r="S31" s="5"/>
    </row>
    <row r="32" spans="1:19" ht="13.5" customHeight="1">
      <c r="A32" s="102"/>
      <c r="B32" s="30" t="s">
        <v>10</v>
      </c>
      <c r="C32" s="31" t="s">
        <v>2</v>
      </c>
      <c r="D32" s="58">
        <f>'P合計'!D32+'B合計'!D32+'液化石油ガス'!D32</f>
        <v>1264884</v>
      </c>
      <c r="E32" s="53">
        <f>'P合計'!E32+'B合計'!E32+'液化石油ガス'!E32</f>
        <v>503953</v>
      </c>
      <c r="F32" s="53">
        <f>'P合計'!F32+'B合計'!F32+'液化石油ガス'!F32</f>
        <v>0</v>
      </c>
      <c r="G32" s="53">
        <f>'P合計'!G32+'B合計'!G32+'液化石油ガス'!G32</f>
        <v>0</v>
      </c>
      <c r="H32" s="53">
        <f>'P合計'!H32+'B合計'!H32+'液化石油ガス'!H32</f>
        <v>0</v>
      </c>
      <c r="I32" s="62">
        <f>'P合計'!I32+'B合計'!I32+'液化石油ガス'!I32</f>
        <v>0</v>
      </c>
      <c r="J32" s="70">
        <f>'P合計'!J32+'B合計'!J32+'液化石油ガス'!J32</f>
        <v>1768837</v>
      </c>
      <c r="K32" s="66">
        <f>'P合計'!K32+'B合計'!K32+'液化石油ガス'!K32</f>
        <v>2197478</v>
      </c>
      <c r="L32" s="53">
        <f>'P合計'!L32+'B合計'!L32+'液化石油ガス'!L32</f>
        <v>0</v>
      </c>
      <c r="M32" s="53">
        <f>'P合計'!M32+'B合計'!M32+'液化石油ガス'!M32</f>
        <v>4267496</v>
      </c>
      <c r="N32" s="53">
        <f>'P合計'!N32+'B合計'!N32+'液化石油ガス'!N32</f>
        <v>1546447</v>
      </c>
      <c r="O32" s="53">
        <f>'P合計'!O32+'B合計'!O32+'液化石油ガス'!O32</f>
        <v>0</v>
      </c>
      <c r="P32" s="62">
        <f>'P合計'!P32+'B合計'!P32+'液化石油ガス'!P32</f>
        <v>0</v>
      </c>
      <c r="Q32" s="70">
        <f>'P合計'!Q32+'B合計'!Q32+'液化石油ガス'!Q32</f>
        <v>8011421</v>
      </c>
      <c r="R32" s="66">
        <f>'P合計'!R32+'B合計'!R32+'液化石油ガス'!R32</f>
        <v>9780258</v>
      </c>
      <c r="S32" s="5"/>
    </row>
    <row r="33" spans="1:19" ht="13.5" customHeight="1" thickBot="1">
      <c r="A33" s="103"/>
      <c r="B33" s="18" t="s">
        <v>42</v>
      </c>
      <c r="C33" s="32" t="s">
        <v>3</v>
      </c>
      <c r="D33" s="57">
        <f aca="true" t="shared" si="9" ref="D33:R33">IF(D31=0,"",(D32/D31)*1000)</f>
        <v>42284.01417396537</v>
      </c>
      <c r="E33" s="52">
        <f t="shared" si="9"/>
        <v>41721.417335872175</v>
      </c>
      <c r="F33" s="52">
        <f t="shared" si="9"/>
      </c>
      <c r="G33" s="52">
        <f t="shared" si="9"/>
      </c>
      <c r="H33" s="52">
        <f t="shared" si="9"/>
      </c>
      <c r="I33" s="61">
        <f t="shared" si="9"/>
      </c>
      <c r="J33" s="69">
        <f t="shared" si="9"/>
        <v>42122.18703117186</v>
      </c>
      <c r="K33" s="65">
        <f t="shared" si="9"/>
        <v>48868.68147752796</v>
      </c>
      <c r="L33" s="52">
        <f t="shared" si="9"/>
      </c>
      <c r="M33" s="52">
        <f t="shared" si="9"/>
        <v>61770.778450047765</v>
      </c>
      <c r="N33" s="52">
        <f t="shared" si="9"/>
        <v>66783.85731559855</v>
      </c>
      <c r="O33" s="52">
        <f t="shared" si="9"/>
      </c>
      <c r="P33" s="61">
        <f t="shared" si="9"/>
      </c>
      <c r="Q33" s="69">
        <f t="shared" si="9"/>
        <v>58388.45119489246</v>
      </c>
      <c r="R33" s="65">
        <f t="shared" si="9"/>
        <v>54576.72347406837</v>
      </c>
      <c r="S33" s="5"/>
    </row>
    <row r="34" spans="1:19" ht="13.5" customHeight="1">
      <c r="A34" s="101" t="s">
        <v>56</v>
      </c>
      <c r="B34" s="30" t="s">
        <v>9</v>
      </c>
      <c r="C34" s="31" t="s">
        <v>1</v>
      </c>
      <c r="D34" s="56">
        <f>'P合計'!D34+'B合計'!D34+'液化石油ガス'!D34</f>
        <v>0</v>
      </c>
      <c r="E34" s="51">
        <f>'P合計'!E34+'B合計'!E34+'液化石油ガス'!E34</f>
        <v>10936</v>
      </c>
      <c r="F34" s="51">
        <f>'P合計'!F34+'B合計'!F34+'液化石油ガス'!F34</f>
        <v>12094</v>
      </c>
      <c r="G34" s="51">
        <f>'P合計'!G34+'B合計'!G34+'液化石油ガス'!G34</f>
        <v>21364</v>
      </c>
      <c r="H34" s="51">
        <f>'P合計'!H34+'B合計'!H34+'液化石油ガス'!H34</f>
        <v>0</v>
      </c>
      <c r="I34" s="60">
        <f>'P合計'!I34+'B合計'!I34+'液化石油ガス'!I34</f>
        <v>0</v>
      </c>
      <c r="J34" s="68">
        <f>'P合計'!J34+'B合計'!J34+'液化石油ガス'!J34</f>
        <v>44394</v>
      </c>
      <c r="K34" s="64">
        <f>'P合計'!K34+'B合計'!K34+'液化石油ガス'!K34</f>
        <v>11818</v>
      </c>
      <c r="L34" s="51">
        <f>'P合計'!L34+'B合計'!L34+'液化石油ガス'!L34</f>
        <v>5110</v>
      </c>
      <c r="M34" s="51">
        <f>'P合計'!M34+'B合計'!M34+'液化石油ガス'!M34</f>
        <v>0</v>
      </c>
      <c r="N34" s="51">
        <f>'P合計'!N34+'B合計'!N34+'液化石油ガス'!N34</f>
        <v>12499</v>
      </c>
      <c r="O34" s="51">
        <f>'P合計'!O34+'B合計'!O34+'液化石油ガス'!O34</f>
        <v>0</v>
      </c>
      <c r="P34" s="60">
        <f>'P合計'!P34+'B合計'!P34+'液化石油ガス'!P34</f>
        <v>0</v>
      </c>
      <c r="Q34" s="68">
        <f>'P合計'!Q34+'B合計'!Q34+'液化石油ガス'!Q34</f>
        <v>29427</v>
      </c>
      <c r="R34" s="64">
        <f>'P合計'!R34+'B合計'!R34+'液化石油ガス'!R34</f>
        <v>73821</v>
      </c>
      <c r="S34" s="5"/>
    </row>
    <row r="35" spans="1:19" ht="13.5" customHeight="1">
      <c r="A35" s="102"/>
      <c r="B35" s="30" t="s">
        <v>10</v>
      </c>
      <c r="C35" s="31" t="s">
        <v>2</v>
      </c>
      <c r="D35" s="56">
        <f>'P合計'!D35+'B合計'!D35+'液化石油ガス'!D35</f>
        <v>0</v>
      </c>
      <c r="E35" s="51">
        <f>'P合計'!E35+'B合計'!E35+'液化石油ガス'!E35</f>
        <v>461592</v>
      </c>
      <c r="F35" s="51">
        <f>'P合計'!F35+'B合計'!F35+'液化石油ガス'!F35</f>
        <v>474347</v>
      </c>
      <c r="G35" s="51">
        <f>'P合計'!G35+'B合計'!G35+'液化石油ガス'!G35</f>
        <v>1096401</v>
      </c>
      <c r="H35" s="51">
        <f>'P合計'!H35+'B合計'!H35+'液化石油ガス'!H35</f>
        <v>0</v>
      </c>
      <c r="I35" s="60">
        <f>'P合計'!I35+'B合計'!I35+'液化石油ガス'!I35</f>
        <v>0</v>
      </c>
      <c r="J35" s="68">
        <f>'P合計'!J35+'B合計'!J35+'液化石油ガス'!J35</f>
        <v>2032340</v>
      </c>
      <c r="K35" s="64">
        <f>'P合計'!K35+'B合計'!K35+'液化石油ガス'!K35</f>
        <v>618881</v>
      </c>
      <c r="L35" s="51">
        <f>'P合計'!L35+'B合計'!L35+'液化石油ガス'!L35</f>
        <v>276910</v>
      </c>
      <c r="M35" s="51">
        <f>'P合計'!M35+'B合計'!M35+'液化石油ガス'!M35</f>
        <v>0</v>
      </c>
      <c r="N35" s="51">
        <f>'P合計'!N35+'B合計'!N35+'液化石油ガス'!N35</f>
        <v>883244</v>
      </c>
      <c r="O35" s="51">
        <f>'P合計'!O35+'B合計'!O35+'液化石油ガス'!O35</f>
        <v>0</v>
      </c>
      <c r="P35" s="60">
        <f>'P合計'!P35+'B合計'!P35+'液化石油ガス'!P35</f>
        <v>0</v>
      </c>
      <c r="Q35" s="68">
        <f>'P合計'!Q35+'B合計'!Q35+'液化石油ガス'!Q35</f>
        <v>1779035</v>
      </c>
      <c r="R35" s="64">
        <f>'P合計'!R35+'B合計'!R35+'液化石油ガス'!R35</f>
        <v>3811375</v>
      </c>
      <c r="S35" s="5"/>
    </row>
    <row r="36" spans="1:19" ht="13.5" customHeight="1" thickBot="1">
      <c r="A36" s="103"/>
      <c r="B36" s="18" t="s">
        <v>42</v>
      </c>
      <c r="C36" s="32" t="s">
        <v>3</v>
      </c>
      <c r="D36" s="57">
        <f aca="true" t="shared" si="10" ref="D36:R36">IF(D34=0,"",(D35/D34)*1000)</f>
      </c>
      <c r="E36" s="52">
        <f t="shared" si="10"/>
        <v>42208.48573518654</v>
      </c>
      <c r="F36" s="52">
        <f t="shared" si="10"/>
        <v>39221.68017198611</v>
      </c>
      <c r="G36" s="52">
        <f t="shared" si="10"/>
        <v>51320.02434001124</v>
      </c>
      <c r="H36" s="52">
        <f t="shared" si="10"/>
      </c>
      <c r="I36" s="61">
        <f t="shared" si="10"/>
      </c>
      <c r="J36" s="69">
        <f t="shared" si="10"/>
        <v>45779.609857187905</v>
      </c>
      <c r="K36" s="65">
        <f t="shared" si="10"/>
        <v>52367.659502453884</v>
      </c>
      <c r="L36" s="52">
        <f t="shared" si="10"/>
        <v>54189.823874755384</v>
      </c>
      <c r="M36" s="52">
        <f t="shared" si="10"/>
      </c>
      <c r="N36" s="52">
        <f t="shared" si="10"/>
        <v>70665.1732138571</v>
      </c>
      <c r="O36" s="52">
        <f t="shared" si="10"/>
      </c>
      <c r="P36" s="61">
        <f t="shared" si="10"/>
      </c>
      <c r="Q36" s="69">
        <f t="shared" si="10"/>
        <v>60455.873857341896</v>
      </c>
      <c r="R36" s="65">
        <f t="shared" si="10"/>
        <v>51629.956245512796</v>
      </c>
      <c r="S36" s="5"/>
    </row>
    <row r="37" spans="1:19" ht="13.5" customHeight="1">
      <c r="A37" s="101" t="s">
        <v>12</v>
      </c>
      <c r="B37" s="30" t="s">
        <v>9</v>
      </c>
      <c r="C37" s="31" t="s">
        <v>1</v>
      </c>
      <c r="D37" s="59">
        <f>'P合計'!D37+'B合計'!D37+'液化石油ガス'!D37</f>
        <v>73430</v>
      </c>
      <c r="E37" s="54">
        <f>'P合計'!E37+'B合計'!E37+'液化石油ガス'!E37</f>
        <v>62</v>
      </c>
      <c r="F37" s="54">
        <f>'P合計'!F37+'B合計'!F37+'液化石油ガス'!F37</f>
        <v>90798</v>
      </c>
      <c r="G37" s="54">
        <f>'P合計'!G37+'B合計'!G37+'液化石油ガス'!G37</f>
        <v>8974</v>
      </c>
      <c r="H37" s="54">
        <f>'P合計'!H37+'B合計'!H37+'液化石油ガス'!H37</f>
        <v>68</v>
      </c>
      <c r="I37" s="63">
        <f>'P合計'!I37+'B合計'!I37+'液化石油ガス'!I37</f>
        <v>21053</v>
      </c>
      <c r="J37" s="71">
        <f>'P合計'!J37+'B合計'!J37+'液化石油ガス'!J37</f>
        <v>194385</v>
      </c>
      <c r="K37" s="67">
        <f>'P合計'!K37+'B合計'!K37+'液化石油ガス'!K37</f>
        <v>14524</v>
      </c>
      <c r="L37" s="54">
        <f>'P合計'!L37+'B合計'!L37+'液化石油ガス'!L37</f>
        <v>28274</v>
      </c>
      <c r="M37" s="54">
        <f>'P合計'!M37+'B合計'!M37+'液化石油ガス'!M37</f>
        <v>333</v>
      </c>
      <c r="N37" s="54">
        <f>'P合計'!N37+'B合計'!N37+'液化石油ガス'!N37</f>
        <v>161</v>
      </c>
      <c r="O37" s="54">
        <f>'P合計'!O37+'B合計'!O37+'液化石油ガス'!O37</f>
        <v>45399</v>
      </c>
      <c r="P37" s="63">
        <f>'P合計'!P37+'B合計'!P37+'液化石油ガス'!P37</f>
        <v>42123</v>
      </c>
      <c r="Q37" s="71">
        <f>'P合計'!Q37+'B合計'!Q37+'液化石油ガス'!Q37</f>
        <v>130814</v>
      </c>
      <c r="R37" s="67">
        <f>'P合計'!R37+'B合計'!R37+'液化石油ガス'!R37</f>
        <v>325199</v>
      </c>
      <c r="S37" s="5"/>
    </row>
    <row r="38" spans="1:19" ht="13.5" customHeight="1">
      <c r="A38" s="102"/>
      <c r="B38" s="30" t="s">
        <v>10</v>
      </c>
      <c r="C38" s="31" t="s">
        <v>2</v>
      </c>
      <c r="D38" s="58">
        <f>'P合計'!D38+'B合計'!D38+'液化石油ガス'!D38</f>
        <v>3262105</v>
      </c>
      <c r="E38" s="53">
        <f>'P合計'!E38+'B合計'!E38+'液化石油ガス'!E38</f>
        <v>32638</v>
      </c>
      <c r="F38" s="53">
        <f>'P合計'!F38+'B合計'!F38+'液化石油ガス'!F38</f>
        <v>3922953</v>
      </c>
      <c r="G38" s="53">
        <f>'P合計'!G38+'B合計'!G38+'液化石油ガス'!G38</f>
        <v>456239</v>
      </c>
      <c r="H38" s="53">
        <f>'P合計'!H38+'B合計'!H38+'液化石油ガス'!H38</f>
        <v>29582</v>
      </c>
      <c r="I38" s="62">
        <f>'P合計'!I38+'B合計'!I38+'液化石油ガス'!I38</f>
        <v>933551</v>
      </c>
      <c r="J38" s="70">
        <f>'P合計'!J38+'B合計'!J38+'液化石油ガス'!J38</f>
        <v>8637068</v>
      </c>
      <c r="K38" s="66">
        <f>'P合計'!K38+'B合計'!K38+'液化石油ガス'!K38</f>
        <v>817837</v>
      </c>
      <c r="L38" s="53">
        <f>'P合計'!L38+'B合計'!L38+'液化石油ガス'!L38</f>
        <v>1448878</v>
      </c>
      <c r="M38" s="53">
        <f>'P合計'!M38+'B合計'!M38+'液化石油ガス'!M38</f>
        <v>87961</v>
      </c>
      <c r="N38" s="53">
        <f>'P合計'!N38+'B合計'!N38+'液化石油ガス'!N38</f>
        <v>52234</v>
      </c>
      <c r="O38" s="53">
        <f>'P合計'!O38+'B合計'!O38+'液化石油ガス'!O38</f>
        <v>2963202</v>
      </c>
      <c r="P38" s="62">
        <f>'P合計'!P38+'B合計'!P38+'液化石油ガス'!P38</f>
        <v>2783388</v>
      </c>
      <c r="Q38" s="70">
        <f>'P合計'!Q38+'B合計'!Q38+'液化石油ガス'!Q38</f>
        <v>8153500</v>
      </c>
      <c r="R38" s="66">
        <f>'P合計'!R38+'B合計'!R38+'液化石油ガス'!R38</f>
        <v>16790568</v>
      </c>
      <c r="S38" s="5"/>
    </row>
    <row r="39" spans="1:19" ht="13.5" customHeight="1" thickBot="1">
      <c r="A39" s="103"/>
      <c r="B39" s="18" t="s">
        <v>42</v>
      </c>
      <c r="C39" s="32" t="s">
        <v>3</v>
      </c>
      <c r="D39" s="57">
        <f aca="true" t="shared" si="11" ref="D39:R39">IF(D37=0,"",(D38/D37)*1000)</f>
        <v>44424.69018112488</v>
      </c>
      <c r="E39" s="52">
        <f t="shared" si="11"/>
        <v>526419.3548387096</v>
      </c>
      <c r="F39" s="52">
        <f t="shared" si="11"/>
        <v>43205.27985197912</v>
      </c>
      <c r="G39" s="52">
        <f t="shared" si="11"/>
        <v>50840.09360374415</v>
      </c>
      <c r="H39" s="52">
        <f t="shared" si="11"/>
        <v>435029.41176470584</v>
      </c>
      <c r="I39" s="61">
        <f t="shared" si="11"/>
        <v>44342.89649931126</v>
      </c>
      <c r="J39" s="69">
        <f t="shared" si="11"/>
        <v>44432.790595982195</v>
      </c>
      <c r="K39" s="65">
        <f t="shared" si="11"/>
        <v>56309.350041310936</v>
      </c>
      <c r="L39" s="52">
        <f t="shared" si="11"/>
        <v>51244.18193393223</v>
      </c>
      <c r="M39" s="52">
        <f t="shared" si="11"/>
        <v>264147.14714714716</v>
      </c>
      <c r="N39" s="52">
        <f t="shared" si="11"/>
        <v>324434.7826086956</v>
      </c>
      <c r="O39" s="52">
        <f t="shared" si="11"/>
        <v>65270.20418951959</v>
      </c>
      <c r="P39" s="61">
        <f t="shared" si="11"/>
        <v>66077.62979844741</v>
      </c>
      <c r="Q39" s="69">
        <f t="shared" si="11"/>
        <v>62328.955616371335</v>
      </c>
      <c r="R39" s="65">
        <f t="shared" si="11"/>
        <v>51631.67168410727</v>
      </c>
      <c r="S39" s="5"/>
    </row>
    <row r="40" spans="1:19" ht="13.5" customHeight="1">
      <c r="A40" s="101" t="s">
        <v>4</v>
      </c>
      <c r="B40" s="30" t="s">
        <v>9</v>
      </c>
      <c r="C40" s="31" t="s">
        <v>1</v>
      </c>
      <c r="D40" s="59">
        <f>'P合計'!D40+'B合計'!D40+'液化石油ガス'!D40</f>
        <v>964554</v>
      </c>
      <c r="E40" s="54">
        <f>'P合計'!E40+'B合計'!E40+'液化石油ガス'!E40</f>
        <v>811136</v>
      </c>
      <c r="F40" s="54">
        <f>'P合計'!F40+'B合計'!F40+'液化石油ガス'!F40</f>
        <v>1143148</v>
      </c>
      <c r="G40" s="54">
        <f>'P合計'!G40+'B合計'!G40+'液化石油ガス'!G40</f>
        <v>843517</v>
      </c>
      <c r="H40" s="54">
        <f>'P合計'!H40+'B合計'!H40+'液化石油ガス'!H40</f>
        <v>940736</v>
      </c>
      <c r="I40" s="63">
        <f>'P合計'!I40+'B合計'!I40+'液化石油ガス'!I40</f>
        <v>1049232</v>
      </c>
      <c r="J40" s="71">
        <f>'P合計'!J40+'B合計'!J40+'液化石油ガス'!J40</f>
        <v>5752323</v>
      </c>
      <c r="K40" s="67">
        <f>'P合計'!K40+'B合計'!K40+'液化石油ガス'!K40</f>
        <v>968297</v>
      </c>
      <c r="L40" s="54">
        <f>'P合計'!L40+'B合計'!L40+'液化石油ガス'!L40</f>
        <v>1145894</v>
      </c>
      <c r="M40" s="54">
        <f>'P合計'!M40+'B合計'!M40+'液化石油ガス'!M40</f>
        <v>1013032</v>
      </c>
      <c r="N40" s="54">
        <f>'P合計'!N40+'B合計'!N40+'液化石油ガス'!N40</f>
        <v>1051136</v>
      </c>
      <c r="O40" s="54">
        <f>'P合計'!O40+'B合計'!O40+'液化石油ガス'!O40</f>
        <v>737373</v>
      </c>
      <c r="P40" s="63">
        <f>'P合計'!P40+'B合計'!P40+'液化石油ガス'!P40</f>
        <v>1131325</v>
      </c>
      <c r="Q40" s="71">
        <f>'P合計'!Q40+'B合計'!Q40+'液化石油ガス'!Q40</f>
        <v>6047057</v>
      </c>
      <c r="R40" s="67">
        <f>'P合計'!R40+'B合計'!R40+'液化石油ガス'!R40</f>
        <v>11799380</v>
      </c>
      <c r="S40" s="5"/>
    </row>
    <row r="41" spans="1:19" ht="13.5" customHeight="1">
      <c r="A41" s="102"/>
      <c r="B41" s="30" t="s">
        <v>10</v>
      </c>
      <c r="C41" s="31" t="s">
        <v>2</v>
      </c>
      <c r="D41" s="58">
        <f>'P合計'!D41+'B合計'!D41+'液化石油ガス'!D41</f>
        <v>44764703</v>
      </c>
      <c r="E41" s="53">
        <f>'P合計'!E41+'B合計'!E41+'液化石油ガス'!E41</f>
        <v>35128450</v>
      </c>
      <c r="F41" s="53">
        <f>'P合計'!F41+'B合計'!F41+'液化石油ガス'!F41</f>
        <v>48769957</v>
      </c>
      <c r="G41" s="53">
        <f>'P合計'!G41+'B合計'!G41+'液化石油ガス'!G41</f>
        <v>38818770</v>
      </c>
      <c r="H41" s="53">
        <f>'P合計'!H41+'B合計'!H41+'液化石油ガス'!H41</f>
        <v>48088751</v>
      </c>
      <c r="I41" s="62">
        <f>'P合計'!I41+'B合計'!I41+'液化石油ガス'!I41</f>
        <v>54507498</v>
      </c>
      <c r="J41" s="70">
        <f>'P合計'!J41+'B合計'!J41+'液化石油ガス'!J41</f>
        <v>270078129</v>
      </c>
      <c r="K41" s="66">
        <f>'P合計'!K41+'B合計'!K41+'液化石油ガス'!K41</f>
        <v>51729944</v>
      </c>
      <c r="L41" s="53">
        <f>'P合計'!L41+'B合計'!L41+'液化石油ガス'!L41</f>
        <v>65394973</v>
      </c>
      <c r="M41" s="53">
        <f>'P合計'!M41+'B合計'!M41+'液化石油ガス'!M41</f>
        <v>61190853</v>
      </c>
      <c r="N41" s="53">
        <f>'P合計'!N41+'B合計'!N41+'液化石油ガス'!N41</f>
        <v>69224899</v>
      </c>
      <c r="O41" s="53">
        <f>'P合計'!O41+'B合計'!O41+'液化石油ガス'!O41</f>
        <v>49537272</v>
      </c>
      <c r="P41" s="62">
        <f>'P合計'!P41+'B合計'!P41+'液化石油ガス'!P41</f>
        <v>76175874</v>
      </c>
      <c r="Q41" s="70">
        <f>'P合計'!Q41+'B合計'!Q41+'液化石油ガス'!Q41</f>
        <v>373253815</v>
      </c>
      <c r="R41" s="66">
        <f>'P合計'!R41+'B合計'!R41+'液化石油ガス'!R41</f>
        <v>643331944</v>
      </c>
      <c r="S41" s="5"/>
    </row>
    <row r="42" spans="1:19" ht="13.5" customHeight="1" thickBot="1">
      <c r="A42" s="103"/>
      <c r="B42" s="18" t="s">
        <v>42</v>
      </c>
      <c r="C42" s="32" t="s">
        <v>3</v>
      </c>
      <c r="D42" s="57">
        <f aca="true" t="shared" si="12" ref="D42:R42">IF(D40=0,"",(D41/D40)*1000)</f>
        <v>46409.74274120475</v>
      </c>
      <c r="E42" s="52">
        <f t="shared" si="12"/>
        <v>43307.71905081269</v>
      </c>
      <c r="F42" s="52">
        <f t="shared" si="12"/>
        <v>42662.85467848432</v>
      </c>
      <c r="G42" s="52">
        <f t="shared" si="12"/>
        <v>46020.13948740808</v>
      </c>
      <c r="H42" s="52">
        <f t="shared" si="12"/>
        <v>51118.221265052045</v>
      </c>
      <c r="I42" s="61">
        <f t="shared" si="12"/>
        <v>51949.900498650444</v>
      </c>
      <c r="J42" s="69">
        <f t="shared" si="12"/>
        <v>46951.14113028771</v>
      </c>
      <c r="K42" s="65">
        <f t="shared" si="12"/>
        <v>53423.63345130678</v>
      </c>
      <c r="L42" s="52">
        <f t="shared" si="12"/>
        <v>57068.95489460631</v>
      </c>
      <c r="M42" s="52">
        <f t="shared" si="12"/>
        <v>60403.67234203855</v>
      </c>
      <c r="N42" s="52">
        <f t="shared" si="12"/>
        <v>65857.22399385046</v>
      </c>
      <c r="O42" s="52">
        <f t="shared" si="12"/>
        <v>67180.75112595661</v>
      </c>
      <c r="P42" s="61">
        <f t="shared" si="12"/>
        <v>67333.32508341988</v>
      </c>
      <c r="Q42" s="69">
        <f t="shared" si="12"/>
        <v>61724.8712886285</v>
      </c>
      <c r="R42" s="65">
        <f t="shared" si="12"/>
        <v>54522.52101381598</v>
      </c>
      <c r="S42" s="5"/>
    </row>
    <row r="43" spans="1:19" s="17" customFormat="1" ht="23.25" customHeight="1" thickBot="1">
      <c r="A43" s="108" t="s">
        <v>13</v>
      </c>
      <c r="B43" s="109"/>
      <c r="C43" s="109"/>
      <c r="D43" s="85">
        <v>98.82</v>
      </c>
      <c r="E43" s="86">
        <v>97.81</v>
      </c>
      <c r="F43" s="87">
        <v>96.17</v>
      </c>
      <c r="G43" s="88">
        <v>95.09</v>
      </c>
      <c r="H43" s="89">
        <v>94.97</v>
      </c>
      <c r="I43" s="99">
        <v>93.05</v>
      </c>
      <c r="J43" s="90">
        <v>95.92</v>
      </c>
      <c r="K43" s="91">
        <v>89.99</v>
      </c>
      <c r="L43" s="92">
        <v>90.61</v>
      </c>
      <c r="M43" s="93">
        <v>88.33</v>
      </c>
      <c r="N43" s="93">
        <v>91.61</v>
      </c>
      <c r="O43" s="88">
        <v>90.22</v>
      </c>
      <c r="P43" s="94">
        <v>90.11</v>
      </c>
      <c r="Q43" s="95">
        <v>90.16</v>
      </c>
      <c r="R43" s="100">
        <v>92.97</v>
      </c>
      <c r="S43" s="16"/>
    </row>
    <row r="44" spans="1:19" s="17" customFormat="1" ht="13.5" customHeight="1">
      <c r="A44" s="104" t="s">
        <v>14</v>
      </c>
      <c r="B44" s="30" t="s">
        <v>9</v>
      </c>
      <c r="C44" s="31" t="s">
        <v>1</v>
      </c>
      <c r="D44" s="59">
        <f>'P合計'!D40</f>
        <v>728357</v>
      </c>
      <c r="E44" s="54">
        <f>'P合計'!E40</f>
        <v>552050</v>
      </c>
      <c r="F44" s="54">
        <f>'P合計'!F40</f>
        <v>784165</v>
      </c>
      <c r="G44" s="54">
        <f>'P合計'!G40</f>
        <v>632235</v>
      </c>
      <c r="H44" s="54">
        <f>'P合計'!H40</f>
        <v>605389</v>
      </c>
      <c r="I44" s="63">
        <f>'P合計'!I40</f>
        <v>720024</v>
      </c>
      <c r="J44" s="71">
        <f>SUM(D44:I44)</f>
        <v>4022220</v>
      </c>
      <c r="K44" s="67">
        <f>'P合計'!K40</f>
        <v>698237</v>
      </c>
      <c r="L44" s="54">
        <f>'P合計'!L40</f>
        <v>851883</v>
      </c>
      <c r="M44" s="54">
        <f>'P合計'!M40</f>
        <v>720677</v>
      </c>
      <c r="N44" s="54">
        <f>'P合計'!N40</f>
        <v>802231</v>
      </c>
      <c r="O44" s="54">
        <f>'P合計'!O40</f>
        <v>592057</v>
      </c>
      <c r="P44" s="63">
        <f>'P合計'!P40</f>
        <v>867697</v>
      </c>
      <c r="Q44" s="71">
        <f>SUM(K44:P44)</f>
        <v>4532782</v>
      </c>
      <c r="R44" s="67">
        <f>J44+Q44</f>
        <v>8555002</v>
      </c>
      <c r="S44" s="16"/>
    </row>
    <row r="45" spans="1:19" s="17" customFormat="1" ht="13.5" customHeight="1">
      <c r="A45" s="105"/>
      <c r="B45" s="30" t="s">
        <v>10</v>
      </c>
      <c r="C45" s="31" t="s">
        <v>2</v>
      </c>
      <c r="D45" s="58">
        <f>'P合計'!D41</f>
        <v>33971150</v>
      </c>
      <c r="E45" s="53">
        <f>'P合計'!E41</f>
        <v>23824301</v>
      </c>
      <c r="F45" s="53">
        <f>'P合計'!F41</f>
        <v>32060669</v>
      </c>
      <c r="G45" s="53">
        <f>'P合計'!G41</f>
        <v>28159302</v>
      </c>
      <c r="H45" s="53">
        <f>'P合計'!H41</f>
        <v>29628037</v>
      </c>
      <c r="I45" s="62">
        <f>'P合計'!I41</f>
        <v>36409215</v>
      </c>
      <c r="J45" s="70">
        <f>SUM(D45:I45)</f>
        <v>184052674</v>
      </c>
      <c r="K45" s="66">
        <f>'P合計'!K41</f>
        <v>36552346</v>
      </c>
      <c r="L45" s="53">
        <f>'P合計'!L41</f>
        <v>48194734</v>
      </c>
      <c r="M45" s="53">
        <f>'P合計'!M41</f>
        <v>43201535</v>
      </c>
      <c r="N45" s="53">
        <f>'P合計'!N41</f>
        <v>52658671</v>
      </c>
      <c r="O45" s="53">
        <f>'P合計'!O41</f>
        <v>39957632</v>
      </c>
      <c r="P45" s="62">
        <f>'P合計'!P41</f>
        <v>58610339</v>
      </c>
      <c r="Q45" s="70">
        <f>SUM(K45:P45)</f>
        <v>279175257</v>
      </c>
      <c r="R45" s="66">
        <f>J45+Q45</f>
        <v>463227931</v>
      </c>
      <c r="S45" s="16"/>
    </row>
    <row r="46" spans="1:19" s="17" customFormat="1" ht="13.5" customHeight="1" thickBot="1">
      <c r="A46" s="106"/>
      <c r="B46" s="18" t="s">
        <v>42</v>
      </c>
      <c r="C46" s="32" t="s">
        <v>3</v>
      </c>
      <c r="D46" s="57">
        <f aca="true" t="shared" si="13" ref="D46:I46">IF(D45=0,"",(D45/D44)*1000)</f>
        <v>46640.79565377967</v>
      </c>
      <c r="E46" s="52">
        <f t="shared" si="13"/>
        <v>43156.05651661987</v>
      </c>
      <c r="F46" s="52">
        <f t="shared" si="13"/>
        <v>40885.105813189824</v>
      </c>
      <c r="G46" s="52">
        <f t="shared" si="13"/>
        <v>44539.29630596218</v>
      </c>
      <c r="H46" s="52">
        <f t="shared" si="13"/>
        <v>48940.49445893466</v>
      </c>
      <c r="I46" s="61">
        <f t="shared" si="13"/>
        <v>50566.6686110463</v>
      </c>
      <c r="J46" s="69">
        <f aca="true" t="shared" si="14" ref="J46:R46">IF(J45=0,"",(J45/J44)*1000)</f>
        <v>45758.97738065048</v>
      </c>
      <c r="K46" s="65">
        <f t="shared" si="14"/>
        <v>52349.483055180404</v>
      </c>
      <c r="L46" s="52">
        <f t="shared" si="14"/>
        <v>56574.35821585828</v>
      </c>
      <c r="M46" s="52">
        <f t="shared" si="14"/>
        <v>59945.766272546505</v>
      </c>
      <c r="N46" s="52">
        <f t="shared" si="14"/>
        <v>65640.28440686037</v>
      </c>
      <c r="O46" s="52">
        <f t="shared" si="14"/>
        <v>67489.50185539568</v>
      </c>
      <c r="P46" s="61">
        <f t="shared" si="14"/>
        <v>67547.01122626908</v>
      </c>
      <c r="Q46" s="69">
        <f t="shared" si="14"/>
        <v>61590.26774285638</v>
      </c>
      <c r="R46" s="65">
        <f t="shared" si="14"/>
        <v>54147.027785615945</v>
      </c>
      <c r="S46" s="16"/>
    </row>
    <row r="47" spans="1:19" s="17" customFormat="1" ht="13.5" customHeight="1">
      <c r="A47" s="104" t="s">
        <v>37</v>
      </c>
      <c r="B47" s="30" t="s">
        <v>9</v>
      </c>
      <c r="C47" s="31" t="s">
        <v>1</v>
      </c>
      <c r="D47" s="59">
        <f>'B合計'!D40</f>
        <v>236190</v>
      </c>
      <c r="E47" s="54">
        <f>'B合計'!E40</f>
        <v>259070</v>
      </c>
      <c r="F47" s="54">
        <f>'B合計'!F40</f>
        <v>358982</v>
      </c>
      <c r="G47" s="54">
        <f>'B合計'!G40</f>
        <v>211279</v>
      </c>
      <c r="H47" s="54">
        <f>'B合計'!H40</f>
        <v>335341</v>
      </c>
      <c r="I47" s="63">
        <f>'B合計'!I40</f>
        <v>329208</v>
      </c>
      <c r="J47" s="71">
        <f>SUM(D47:I47)</f>
        <v>1730070</v>
      </c>
      <c r="K47" s="67">
        <f>'B合計'!K40</f>
        <v>270055</v>
      </c>
      <c r="L47" s="54">
        <f>'B合計'!L40</f>
        <v>294011</v>
      </c>
      <c r="M47" s="54">
        <f>'B合計'!M40</f>
        <v>292353</v>
      </c>
      <c r="N47" s="54">
        <f>'B合計'!N40</f>
        <v>248905</v>
      </c>
      <c r="O47" s="54">
        <f>'B合計'!O40</f>
        <v>145308</v>
      </c>
      <c r="P47" s="63">
        <f>'B合計'!P40</f>
        <v>263610</v>
      </c>
      <c r="Q47" s="71">
        <f>SUM(K47:P47)</f>
        <v>1514242</v>
      </c>
      <c r="R47" s="67">
        <f>J47+Q47</f>
        <v>3244312</v>
      </c>
      <c r="S47" s="16"/>
    </row>
    <row r="48" spans="1:19" s="17" customFormat="1" ht="13.5" customHeight="1">
      <c r="A48" s="105"/>
      <c r="B48" s="30" t="s">
        <v>10</v>
      </c>
      <c r="C48" s="31" t="s">
        <v>2</v>
      </c>
      <c r="D48" s="58">
        <f>'B合計'!D41</f>
        <v>10788886</v>
      </c>
      <c r="E48" s="53">
        <f>'B合計'!E41</f>
        <v>11291784</v>
      </c>
      <c r="F48" s="53">
        <f>'B合計'!F41</f>
        <v>16707517</v>
      </c>
      <c r="G48" s="53">
        <f>'B合計'!G41</f>
        <v>10654919</v>
      </c>
      <c r="H48" s="53">
        <f>'B合計'!H41</f>
        <v>18455554</v>
      </c>
      <c r="I48" s="62">
        <f>'B合計'!I41</f>
        <v>18097406</v>
      </c>
      <c r="J48" s="70">
        <f>SUM(D48:I48)</f>
        <v>85996066</v>
      </c>
      <c r="K48" s="66">
        <f>'B合計'!K41</f>
        <v>15171075</v>
      </c>
      <c r="L48" s="53">
        <f>'B合計'!L41</f>
        <v>17195463</v>
      </c>
      <c r="M48" s="53">
        <f>'B合計'!M41</f>
        <v>17986365</v>
      </c>
      <c r="N48" s="53">
        <f>'B合計'!N41</f>
        <v>16557058</v>
      </c>
      <c r="O48" s="53">
        <f>'B合計'!O41</f>
        <v>9573944</v>
      </c>
      <c r="P48" s="62">
        <f>'B合計'!P41</f>
        <v>17552921</v>
      </c>
      <c r="Q48" s="70">
        <f>SUM(K48:P48)</f>
        <v>94036826</v>
      </c>
      <c r="R48" s="66">
        <f>J48+Q48</f>
        <v>180032892</v>
      </c>
      <c r="S48" s="16"/>
    </row>
    <row r="49" spans="1:19" s="17" customFormat="1" ht="13.5" customHeight="1" thickBot="1">
      <c r="A49" s="106"/>
      <c r="B49" s="18" t="s">
        <v>42</v>
      </c>
      <c r="C49" s="32" t="s">
        <v>3</v>
      </c>
      <c r="D49" s="57">
        <f aca="true" t="shared" si="15" ref="D49:I49">IF(D48=0,"",(D48/D47)*1000)</f>
        <v>45678.84330411957</v>
      </c>
      <c r="E49" s="52">
        <f t="shared" si="15"/>
        <v>43585.84166441502</v>
      </c>
      <c r="F49" s="52">
        <f t="shared" si="15"/>
        <v>46541.378119237175</v>
      </c>
      <c r="G49" s="52">
        <f t="shared" si="15"/>
        <v>50430.5633782818</v>
      </c>
      <c r="H49" s="52">
        <f t="shared" si="15"/>
        <v>55035.18508026158</v>
      </c>
      <c r="I49" s="61">
        <f t="shared" si="15"/>
        <v>54972.558382542345</v>
      </c>
      <c r="J49" s="69">
        <f aca="true" t="shared" si="16" ref="J49:R49">IF(J48=0,"",(J48/J47)*1000)</f>
        <v>49706.69741686753</v>
      </c>
      <c r="K49" s="65">
        <f t="shared" si="16"/>
        <v>56177.723056414434</v>
      </c>
      <c r="L49" s="52">
        <f t="shared" si="16"/>
        <v>58485.7811442429</v>
      </c>
      <c r="M49" s="52">
        <f t="shared" si="16"/>
        <v>61522.76528716996</v>
      </c>
      <c r="N49" s="52">
        <f t="shared" si="16"/>
        <v>66519.58779454009</v>
      </c>
      <c r="O49" s="52">
        <f t="shared" si="16"/>
        <v>65887.24640074876</v>
      </c>
      <c r="P49" s="61">
        <f t="shared" si="16"/>
        <v>66586.70384279807</v>
      </c>
      <c r="Q49" s="69">
        <f t="shared" si="16"/>
        <v>62101.5834985425</v>
      </c>
      <c r="R49" s="65">
        <f t="shared" si="16"/>
        <v>55491.855283955425</v>
      </c>
      <c r="S49" s="16"/>
    </row>
    <row r="50" spans="1:18" s="17" customFormat="1" ht="13.5" customHeight="1">
      <c r="A50" s="107" t="s">
        <v>57</v>
      </c>
      <c r="B50" s="30" t="s">
        <v>9</v>
      </c>
      <c r="C50" s="31" t="s">
        <v>1</v>
      </c>
      <c r="D50" s="59">
        <f>'液化石油ガス'!D40</f>
        <v>7</v>
      </c>
      <c r="E50" s="54">
        <f>'液化石油ガス'!E40</f>
        <v>16</v>
      </c>
      <c r="F50" s="54">
        <f>'液化石油ガス'!F40</f>
        <v>1</v>
      </c>
      <c r="G50" s="54">
        <f>'液化石油ガス'!G40</f>
        <v>3</v>
      </c>
      <c r="H50" s="54">
        <f>'液化石油ガス'!H40</f>
        <v>6</v>
      </c>
      <c r="I50" s="63">
        <f>'液化石油ガス'!I40</f>
        <v>0</v>
      </c>
      <c r="J50" s="71">
        <f>SUM(D50:I50)</f>
        <v>33</v>
      </c>
      <c r="K50" s="67">
        <f>'液化石油ガス'!K40</f>
        <v>5</v>
      </c>
      <c r="L50" s="54">
        <f>'液化石油ガス'!L40</f>
        <v>0</v>
      </c>
      <c r="M50" s="54">
        <f>'液化石油ガス'!M40</f>
        <v>2</v>
      </c>
      <c r="N50" s="54">
        <f>'液化石油ガス'!N40</f>
        <v>0</v>
      </c>
      <c r="O50" s="54">
        <f>'液化石油ガス'!O40</f>
        <v>8</v>
      </c>
      <c r="P50" s="63">
        <f>'液化石油ガス'!P40</f>
        <v>18</v>
      </c>
      <c r="Q50" s="71">
        <f>SUM(K50:P50)</f>
        <v>33</v>
      </c>
      <c r="R50" s="67">
        <f>J50+Q50</f>
        <v>66</v>
      </c>
    </row>
    <row r="51" spans="1:18" s="17" customFormat="1" ht="13.5" customHeight="1">
      <c r="A51" s="105"/>
      <c r="B51" s="30" t="s">
        <v>10</v>
      </c>
      <c r="C51" s="31" t="s">
        <v>2</v>
      </c>
      <c r="D51" s="58">
        <f>'液化石油ガス'!D41</f>
        <v>4667</v>
      </c>
      <c r="E51" s="53">
        <f>'液化石油ガス'!E41</f>
        <v>12365</v>
      </c>
      <c r="F51" s="53">
        <f>'液化石油ガス'!F41</f>
        <v>1771</v>
      </c>
      <c r="G51" s="53">
        <f>'液化石油ガス'!G41</f>
        <v>4549</v>
      </c>
      <c r="H51" s="53">
        <f>'液化石油ガス'!H41</f>
        <v>5160</v>
      </c>
      <c r="I51" s="62">
        <f>'液化石油ガス'!I41</f>
        <v>877</v>
      </c>
      <c r="J51" s="70">
        <f>SUM(D51:I51)</f>
        <v>29389</v>
      </c>
      <c r="K51" s="66">
        <f>'液化石油ガス'!K41</f>
        <v>6523</v>
      </c>
      <c r="L51" s="53">
        <f>'液化石油ガス'!L41</f>
        <v>4776</v>
      </c>
      <c r="M51" s="53">
        <f>'液化石油ガス'!M41</f>
        <v>2953</v>
      </c>
      <c r="N51" s="53">
        <f>'液化石油ガス'!N41</f>
        <v>9170</v>
      </c>
      <c r="O51" s="53">
        <f>'液化石油ガス'!O41</f>
        <v>5696</v>
      </c>
      <c r="P51" s="62">
        <f>'液化石油ガス'!P41</f>
        <v>12614</v>
      </c>
      <c r="Q51" s="70">
        <f>SUM(K51:P51)</f>
        <v>41732</v>
      </c>
      <c r="R51" s="66">
        <f>J51+Q51</f>
        <v>71121</v>
      </c>
    </row>
    <row r="52" spans="1:18" s="17" customFormat="1" ht="13.5" customHeight="1" thickBot="1">
      <c r="A52" s="106"/>
      <c r="B52" s="18" t="s">
        <v>42</v>
      </c>
      <c r="C52" s="32" t="s">
        <v>3</v>
      </c>
      <c r="D52" s="57">
        <f>IF(D50=0,"",(D51/D50)*1000)</f>
        <v>666714.2857142857</v>
      </c>
      <c r="E52" s="52">
        <f aca="true" t="shared" si="17" ref="E52:R52">IF(E51=0,"",(E51/E50)*1000)</f>
        <v>772812.5</v>
      </c>
      <c r="F52" s="52">
        <f>IF(F50=0,"",(F51/F50)*1000)</f>
        <v>1771000</v>
      </c>
      <c r="G52" s="52">
        <f>IF(G50=0,"",(G51/G50)*1000)</f>
        <v>1516333.3333333333</v>
      </c>
      <c r="H52" s="52">
        <f t="shared" si="17"/>
        <v>860000</v>
      </c>
      <c r="I52" s="61">
        <f>IF(I50=0,"",(I51/I50)*1000)</f>
      </c>
      <c r="J52" s="69">
        <f t="shared" si="17"/>
        <v>890575.7575757576</v>
      </c>
      <c r="K52" s="65">
        <f>IF(K50=0,"",(K51/K50)*1000)</f>
        <v>1304600</v>
      </c>
      <c r="L52" s="52">
        <f>IF(L50=0,"",(L51/L50)*1000)</f>
      </c>
      <c r="M52" s="52">
        <f t="shared" si="17"/>
        <v>1476500</v>
      </c>
      <c r="N52" s="52">
        <f>IF(N50=0,"",(N51/N50)*1000)</f>
      </c>
      <c r="O52" s="52">
        <f>IF(O50=0,"",(O51/O50)*1000)</f>
        <v>712000</v>
      </c>
      <c r="P52" s="61">
        <f t="shared" si="17"/>
        <v>700777.7777777779</v>
      </c>
      <c r="Q52" s="69">
        <f t="shared" si="17"/>
        <v>1264606.0606060605</v>
      </c>
      <c r="R52" s="65">
        <f t="shared" si="17"/>
        <v>1077590.909090909</v>
      </c>
    </row>
    <row r="53" ht="12.75">
      <c r="A53" s="97" t="s">
        <v>97</v>
      </c>
    </row>
  </sheetData>
  <mergeCells count="19">
    <mergeCell ref="Q2:R2"/>
    <mergeCell ref="D1:P1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47:A49"/>
    <mergeCell ref="A50:A52"/>
    <mergeCell ref="A37:A39"/>
    <mergeCell ref="A40:A42"/>
    <mergeCell ref="A43:C43"/>
    <mergeCell ref="A44:A46"/>
  </mergeCells>
  <printOptions horizontalCentered="1" verticalCentered="1"/>
  <pageMargins left="0.3937007874015748" right="0.3937007874015748" top="0.5905511811023623" bottom="0.5905511811023623" header="0" footer="0.3937007874015748"/>
  <pageSetup errors="blank" fitToHeight="1" fitToWidth="1" horizontalDpi="300" verticalDpi="300" orientation="landscape" paperSize="9" scale="71" r:id="rId2"/>
  <headerFooter alignWithMargins="0">
    <oddFooter>&amp;C&amp;20-1-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showZeros="0" zoomScale="55" zoomScaleNormal="55" zoomScaleSheetLayoutView="115" workbookViewId="0" topLeftCell="A1">
      <selection activeCell="Q43" sqref="Q43"/>
    </sheetView>
  </sheetViews>
  <sheetFormatPr defaultColWidth="9.140625" defaultRowHeight="12.75"/>
  <cols>
    <col min="1" max="1" width="14.140625" style="0" customWidth="1"/>
    <col min="4" max="9" width="10.7109375" style="0" customWidth="1"/>
    <col min="10" max="10" width="11.28125" style="0" customWidth="1"/>
    <col min="11" max="16" width="10.7109375" style="0" customWidth="1"/>
    <col min="17" max="18" width="11.28125" style="0" customWidth="1"/>
    <col min="19" max="19" width="5.00390625" style="0" customWidth="1"/>
  </cols>
  <sheetData>
    <row r="1" spans="1:16" ht="27.75" customHeight="1">
      <c r="A1" s="13"/>
      <c r="B1" s="10" t="s">
        <v>93</v>
      </c>
      <c r="C1" s="10"/>
      <c r="D1" s="114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8" ht="18" customHeight="1" thickBot="1">
      <c r="A2" s="11" t="s">
        <v>58</v>
      </c>
      <c r="B2" s="11"/>
      <c r="C2" s="11"/>
      <c r="D2" s="11"/>
      <c r="E2" s="11"/>
      <c r="F2" s="1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8">
        <f>'総合計'!Q2</f>
        <v>40616</v>
      </c>
    </row>
    <row r="3" spans="1:19" ht="24" customHeight="1" thickBot="1">
      <c r="A3" s="28" t="s">
        <v>40</v>
      </c>
      <c r="B3" s="29"/>
      <c r="C3" s="36"/>
      <c r="D3" s="37" t="s">
        <v>16</v>
      </c>
      <c r="E3" s="23" t="s">
        <v>17</v>
      </c>
      <c r="F3" s="23" t="s">
        <v>18</v>
      </c>
      <c r="G3" s="23" t="s">
        <v>19</v>
      </c>
      <c r="H3" s="23" t="s">
        <v>20</v>
      </c>
      <c r="I3" s="24" t="s">
        <v>21</v>
      </c>
      <c r="J3" s="25" t="s">
        <v>22</v>
      </c>
      <c r="K3" s="24" t="s">
        <v>23</v>
      </c>
      <c r="L3" s="23" t="s">
        <v>24</v>
      </c>
      <c r="M3" s="23" t="s">
        <v>25</v>
      </c>
      <c r="N3" s="23" t="s">
        <v>26</v>
      </c>
      <c r="O3" s="23" t="s">
        <v>27</v>
      </c>
      <c r="P3" s="24" t="s">
        <v>28</v>
      </c>
      <c r="Q3" s="25" t="s">
        <v>29</v>
      </c>
      <c r="R3" s="26" t="s">
        <v>30</v>
      </c>
      <c r="S3" s="5"/>
    </row>
    <row r="4" spans="1:19" s="17" customFormat="1" ht="16.5" customHeight="1">
      <c r="A4" s="101" t="s">
        <v>41</v>
      </c>
      <c r="B4" s="30" t="s">
        <v>9</v>
      </c>
      <c r="C4" s="31" t="s">
        <v>1</v>
      </c>
      <c r="D4" s="55"/>
      <c r="E4" s="51"/>
      <c r="F4" s="51"/>
      <c r="G4" s="51"/>
      <c r="H4" s="51"/>
      <c r="I4" s="60"/>
      <c r="J4" s="73">
        <f>SUM(D4:I4)</f>
        <v>0</v>
      </c>
      <c r="K4" s="64"/>
      <c r="L4" s="51"/>
      <c r="M4" s="51"/>
      <c r="N4" s="51"/>
      <c r="O4" s="51"/>
      <c r="P4" s="80"/>
      <c r="Q4" s="73">
        <f>SUM(K4:P4)</f>
        <v>0</v>
      </c>
      <c r="R4" s="64">
        <f>J4+Q4</f>
        <v>0</v>
      </c>
      <c r="S4" s="16"/>
    </row>
    <row r="5" spans="1:19" s="17" customFormat="1" ht="16.5" customHeight="1">
      <c r="A5" s="102"/>
      <c r="B5" s="30" t="s">
        <v>10</v>
      </c>
      <c r="C5" s="31" t="s">
        <v>2</v>
      </c>
      <c r="D5" s="56"/>
      <c r="E5" s="51"/>
      <c r="F5" s="51"/>
      <c r="G5" s="51"/>
      <c r="H5" s="51"/>
      <c r="I5" s="60"/>
      <c r="J5" s="68">
        <f>SUM(D5:I5)</f>
        <v>0</v>
      </c>
      <c r="K5" s="64"/>
      <c r="L5" s="51"/>
      <c r="M5" s="51"/>
      <c r="N5" s="51"/>
      <c r="O5" s="51"/>
      <c r="P5" s="81"/>
      <c r="Q5" s="68">
        <f>SUM(K5:P5)</f>
        <v>0</v>
      </c>
      <c r="R5" s="64">
        <f>J5+Q5</f>
        <v>0</v>
      </c>
      <c r="S5" s="16"/>
    </row>
    <row r="6" spans="1:19" s="17" customFormat="1" ht="16.5" customHeight="1" thickBot="1">
      <c r="A6" s="103"/>
      <c r="B6" s="18" t="s">
        <v>42</v>
      </c>
      <c r="C6" s="32" t="s">
        <v>3</v>
      </c>
      <c r="D6" s="57">
        <f>IF(D4=0,,D5/D4*1000)</f>
        <v>0</v>
      </c>
      <c r="E6" s="52">
        <f>IF(E4=0,,E5/E4*1000)</f>
        <v>0</v>
      </c>
      <c r="F6" s="52">
        <f>IF(F4=0,,F5/F4*1000)</f>
        <v>0</v>
      </c>
      <c r="G6" s="52">
        <f>IF(G4=0,,G5/G4*1000)</f>
        <v>0</v>
      </c>
      <c r="H6" s="52">
        <f aca="true" t="shared" si="0" ref="H6:R6">IF(H4=0,,H5/H4*1000)</f>
        <v>0</v>
      </c>
      <c r="I6" s="61">
        <f t="shared" si="0"/>
        <v>0</v>
      </c>
      <c r="J6" s="69">
        <f t="shared" si="0"/>
        <v>0</v>
      </c>
      <c r="K6" s="65">
        <f t="shared" si="0"/>
        <v>0</v>
      </c>
      <c r="L6" s="52">
        <v>0</v>
      </c>
      <c r="M6" s="52">
        <v>0</v>
      </c>
      <c r="N6" s="52">
        <f t="shared" si="0"/>
        <v>0</v>
      </c>
      <c r="O6" s="52">
        <f t="shared" si="0"/>
        <v>0</v>
      </c>
      <c r="P6" s="82">
        <f t="shared" si="0"/>
        <v>0</v>
      </c>
      <c r="Q6" s="69">
        <f t="shared" si="0"/>
        <v>0</v>
      </c>
      <c r="R6" s="65">
        <f t="shared" si="0"/>
        <v>0</v>
      </c>
      <c r="S6" s="46"/>
    </row>
    <row r="7" spans="1:19" s="17" customFormat="1" ht="16.5" customHeight="1">
      <c r="A7" s="101" t="s">
        <v>51</v>
      </c>
      <c r="B7" s="30" t="s">
        <v>9</v>
      </c>
      <c r="C7" s="31" t="s">
        <v>1</v>
      </c>
      <c r="D7" s="56"/>
      <c r="E7" s="51"/>
      <c r="F7" s="51"/>
      <c r="G7" s="51"/>
      <c r="H7" s="51"/>
      <c r="I7" s="60"/>
      <c r="J7" s="68">
        <f>SUM(D7:I7)</f>
        <v>0</v>
      </c>
      <c r="K7" s="64"/>
      <c r="L7" s="51"/>
      <c r="M7" s="51"/>
      <c r="N7" s="51"/>
      <c r="O7" s="51"/>
      <c r="P7" s="80"/>
      <c r="Q7" s="68">
        <f>SUM(K7:P7)</f>
        <v>0</v>
      </c>
      <c r="R7" s="64">
        <f>J7+Q7</f>
        <v>0</v>
      </c>
      <c r="S7" s="16"/>
    </row>
    <row r="8" spans="1:19" s="17" customFormat="1" ht="16.5" customHeight="1">
      <c r="A8" s="102"/>
      <c r="B8" s="30" t="s">
        <v>10</v>
      </c>
      <c r="C8" s="31" t="s">
        <v>2</v>
      </c>
      <c r="D8" s="56"/>
      <c r="E8" s="51"/>
      <c r="F8" s="51"/>
      <c r="G8" s="51"/>
      <c r="H8" s="51"/>
      <c r="I8" s="60"/>
      <c r="J8" s="68">
        <f>SUM(D8:I8)</f>
        <v>0</v>
      </c>
      <c r="K8" s="64"/>
      <c r="L8" s="51"/>
      <c r="M8" s="51"/>
      <c r="N8" s="51"/>
      <c r="O8" s="51"/>
      <c r="P8" s="81"/>
      <c r="Q8" s="68">
        <f>SUM(K8:P8)</f>
        <v>0</v>
      </c>
      <c r="R8" s="64">
        <f>J8+Q8</f>
        <v>0</v>
      </c>
      <c r="S8" s="16"/>
    </row>
    <row r="9" spans="1:19" s="17" customFormat="1" ht="16.5" customHeight="1" thickBot="1">
      <c r="A9" s="103"/>
      <c r="B9" s="18" t="s">
        <v>42</v>
      </c>
      <c r="C9" s="32" t="s">
        <v>3</v>
      </c>
      <c r="D9" s="57">
        <f>IF(D7=0,,D8/D7*1000)</f>
        <v>0</v>
      </c>
      <c r="E9" s="52">
        <f>IF(E7=0,,E8/E7*1000)</f>
        <v>0</v>
      </c>
      <c r="F9" s="52">
        <f>IF(F7=0,,F8/F7*1000)</f>
        <v>0</v>
      </c>
      <c r="G9" s="52">
        <f>IF(G7=0,,G8/G7*1000)</f>
        <v>0</v>
      </c>
      <c r="H9" s="52">
        <f aca="true" t="shared" si="1" ref="H9:R9">IF(H7=0,,H8/H7*1000)</f>
        <v>0</v>
      </c>
      <c r="I9" s="61">
        <f t="shared" si="1"/>
        <v>0</v>
      </c>
      <c r="J9" s="69">
        <f t="shared" si="1"/>
        <v>0</v>
      </c>
      <c r="K9" s="65">
        <f t="shared" si="1"/>
        <v>0</v>
      </c>
      <c r="L9" s="52">
        <v>0</v>
      </c>
      <c r="M9" s="52">
        <v>0</v>
      </c>
      <c r="N9" s="52">
        <f t="shared" si="1"/>
        <v>0</v>
      </c>
      <c r="O9" s="52">
        <f t="shared" si="1"/>
        <v>0</v>
      </c>
      <c r="P9" s="82">
        <f t="shared" si="1"/>
        <v>0</v>
      </c>
      <c r="Q9" s="69">
        <f t="shared" si="1"/>
        <v>0</v>
      </c>
      <c r="R9" s="65">
        <f t="shared" si="1"/>
        <v>0</v>
      </c>
      <c r="S9" s="16"/>
    </row>
    <row r="10" spans="1:19" s="17" customFormat="1" ht="16.5" customHeight="1">
      <c r="A10" s="101" t="s">
        <v>52</v>
      </c>
      <c r="B10" s="30" t="s">
        <v>9</v>
      </c>
      <c r="C10" s="31" t="s">
        <v>1</v>
      </c>
      <c r="D10" s="56"/>
      <c r="E10" s="51"/>
      <c r="F10" s="51"/>
      <c r="G10" s="51"/>
      <c r="H10" s="51"/>
      <c r="I10" s="60"/>
      <c r="J10" s="68">
        <f>SUM(D10:I10)</f>
        <v>0</v>
      </c>
      <c r="K10" s="64"/>
      <c r="L10" s="51"/>
      <c r="M10" s="51"/>
      <c r="N10" s="51"/>
      <c r="O10" s="51"/>
      <c r="P10" s="80"/>
      <c r="Q10" s="68">
        <f>SUM(K10:P10)</f>
        <v>0</v>
      </c>
      <c r="R10" s="64">
        <f>J10+Q10</f>
        <v>0</v>
      </c>
      <c r="S10" s="16"/>
    </row>
    <row r="11" spans="1:19" s="17" customFormat="1" ht="16.5" customHeight="1">
      <c r="A11" s="102"/>
      <c r="B11" s="30" t="s">
        <v>10</v>
      </c>
      <c r="C11" s="31" t="s">
        <v>2</v>
      </c>
      <c r="D11" s="58"/>
      <c r="E11" s="53"/>
      <c r="F11" s="53"/>
      <c r="G11" s="53"/>
      <c r="H11" s="53"/>
      <c r="I11" s="62"/>
      <c r="J11" s="70">
        <f>SUM(D11:I11)</f>
        <v>0</v>
      </c>
      <c r="K11" s="66"/>
      <c r="L11" s="53"/>
      <c r="M11" s="53"/>
      <c r="N11" s="53"/>
      <c r="O11" s="53"/>
      <c r="P11" s="81"/>
      <c r="Q11" s="70">
        <f>SUM(K11:P11)</f>
        <v>0</v>
      </c>
      <c r="R11" s="66">
        <f>J11+Q11</f>
        <v>0</v>
      </c>
      <c r="S11" s="16"/>
    </row>
    <row r="12" spans="1:19" s="17" customFormat="1" ht="16.5" customHeight="1" thickBot="1">
      <c r="A12" s="103"/>
      <c r="B12" s="18" t="s">
        <v>42</v>
      </c>
      <c r="C12" s="32" t="s">
        <v>3</v>
      </c>
      <c r="D12" s="57">
        <f>IF(D10=0,,D11/D10*1000)</f>
        <v>0</v>
      </c>
      <c r="E12" s="52">
        <f>IF(E10=0,,E11/E10*1000)</f>
        <v>0</v>
      </c>
      <c r="F12" s="52">
        <f aca="true" t="shared" si="2" ref="F12:R12">IF(F10=0,,F11/F10*1000)</f>
        <v>0</v>
      </c>
      <c r="G12" s="52">
        <f t="shared" si="2"/>
        <v>0</v>
      </c>
      <c r="H12" s="52">
        <f t="shared" si="2"/>
        <v>0</v>
      </c>
      <c r="I12" s="61">
        <f t="shared" si="2"/>
        <v>0</v>
      </c>
      <c r="J12" s="69">
        <f t="shared" si="2"/>
        <v>0</v>
      </c>
      <c r="K12" s="65">
        <f t="shared" si="2"/>
        <v>0</v>
      </c>
      <c r="L12" s="52">
        <v>0</v>
      </c>
      <c r="M12" s="52">
        <v>0</v>
      </c>
      <c r="N12" s="52">
        <f t="shared" si="2"/>
        <v>0</v>
      </c>
      <c r="O12" s="52">
        <f t="shared" si="2"/>
        <v>0</v>
      </c>
      <c r="P12" s="82">
        <f t="shared" si="2"/>
        <v>0</v>
      </c>
      <c r="Q12" s="69">
        <f t="shared" si="2"/>
        <v>0</v>
      </c>
      <c r="R12" s="65">
        <f t="shared" si="2"/>
        <v>0</v>
      </c>
      <c r="S12" s="46"/>
    </row>
    <row r="13" spans="1:19" s="17" customFormat="1" ht="16.5" customHeight="1">
      <c r="A13" s="101" t="s">
        <v>94</v>
      </c>
      <c r="B13" s="30" t="s">
        <v>9</v>
      </c>
      <c r="C13" s="31" t="s">
        <v>1</v>
      </c>
      <c r="D13" s="56"/>
      <c r="E13" s="51"/>
      <c r="F13" s="51"/>
      <c r="G13" s="51"/>
      <c r="H13" s="51"/>
      <c r="I13" s="60"/>
      <c r="J13" s="68">
        <f>SUM(D13:I13)</f>
        <v>0</v>
      </c>
      <c r="K13" s="64"/>
      <c r="L13" s="51"/>
      <c r="M13" s="51"/>
      <c r="N13" s="51"/>
      <c r="O13" s="51"/>
      <c r="P13" s="80"/>
      <c r="Q13" s="68">
        <f>SUM(K13:P13)</f>
        <v>0</v>
      </c>
      <c r="R13" s="64">
        <f>J13+Q13</f>
        <v>0</v>
      </c>
      <c r="S13" s="16"/>
    </row>
    <row r="14" spans="1:19" s="17" customFormat="1" ht="16.5" customHeight="1">
      <c r="A14" s="102"/>
      <c r="B14" s="30" t="s">
        <v>10</v>
      </c>
      <c r="C14" s="31" t="s">
        <v>2</v>
      </c>
      <c r="D14" s="58"/>
      <c r="E14" s="53"/>
      <c r="F14" s="53"/>
      <c r="G14" s="53"/>
      <c r="H14" s="53"/>
      <c r="I14" s="62"/>
      <c r="J14" s="70">
        <f>SUM(D14:I14)</f>
        <v>0</v>
      </c>
      <c r="K14" s="66"/>
      <c r="L14" s="53"/>
      <c r="M14" s="53"/>
      <c r="N14" s="53"/>
      <c r="O14" s="53"/>
      <c r="P14" s="81"/>
      <c r="Q14" s="70">
        <f>SUM(K14:P14)</f>
        <v>0</v>
      </c>
      <c r="R14" s="66">
        <f>J14+Q14</f>
        <v>0</v>
      </c>
      <c r="S14" s="16"/>
    </row>
    <row r="15" spans="1:19" s="17" customFormat="1" ht="16.5" customHeight="1" thickBot="1">
      <c r="A15" s="103"/>
      <c r="B15" s="18" t="s">
        <v>42</v>
      </c>
      <c r="C15" s="32" t="s">
        <v>3</v>
      </c>
      <c r="D15" s="57">
        <f>IF(D13=0,,D14/D13*1000)</f>
        <v>0</v>
      </c>
      <c r="E15" s="52">
        <f>IF(E13=0,,E14/E13*1000)</f>
        <v>0</v>
      </c>
      <c r="F15" s="52">
        <f aca="true" t="shared" si="3" ref="F15:R15">IF(F13=0,,F14/F13*1000)</f>
        <v>0</v>
      </c>
      <c r="G15" s="52">
        <f t="shared" si="3"/>
        <v>0</v>
      </c>
      <c r="H15" s="52">
        <f t="shared" si="3"/>
        <v>0</v>
      </c>
      <c r="I15" s="61">
        <f t="shared" si="3"/>
        <v>0</v>
      </c>
      <c r="J15" s="69">
        <f t="shared" si="3"/>
        <v>0</v>
      </c>
      <c r="K15" s="65">
        <f t="shared" si="3"/>
        <v>0</v>
      </c>
      <c r="L15" s="52">
        <v>0</v>
      </c>
      <c r="M15" s="52">
        <v>0</v>
      </c>
      <c r="N15" s="52">
        <f t="shared" si="3"/>
        <v>0</v>
      </c>
      <c r="O15" s="52">
        <f t="shared" si="3"/>
        <v>0</v>
      </c>
      <c r="P15" s="82">
        <f t="shared" si="3"/>
        <v>0</v>
      </c>
      <c r="Q15" s="69">
        <f t="shared" si="3"/>
        <v>0</v>
      </c>
      <c r="R15" s="65">
        <f t="shared" si="3"/>
        <v>0</v>
      </c>
      <c r="S15" s="46"/>
    </row>
    <row r="16" spans="1:19" s="17" customFormat="1" ht="16.5" customHeight="1">
      <c r="A16" s="101" t="s">
        <v>96</v>
      </c>
      <c r="B16" s="30" t="s">
        <v>9</v>
      </c>
      <c r="C16" s="31" t="s">
        <v>1</v>
      </c>
      <c r="D16" s="56"/>
      <c r="E16" s="51"/>
      <c r="F16" s="51"/>
      <c r="G16" s="51"/>
      <c r="H16" s="51"/>
      <c r="I16" s="60"/>
      <c r="J16" s="68">
        <f>SUM(D16:I16)</f>
        <v>0</v>
      </c>
      <c r="K16" s="64"/>
      <c r="L16" s="51"/>
      <c r="M16" s="51"/>
      <c r="N16" s="51"/>
      <c r="O16" s="51"/>
      <c r="P16" s="80"/>
      <c r="Q16" s="68">
        <f>SUM(K16:P16)</f>
        <v>0</v>
      </c>
      <c r="R16" s="64">
        <f>J16+Q16</f>
        <v>0</v>
      </c>
      <c r="S16" s="16"/>
    </row>
    <row r="17" spans="1:19" s="17" customFormat="1" ht="16.5" customHeight="1">
      <c r="A17" s="102"/>
      <c r="B17" s="30" t="s">
        <v>10</v>
      </c>
      <c r="C17" s="31" t="s">
        <v>2</v>
      </c>
      <c r="D17" s="56"/>
      <c r="E17" s="51"/>
      <c r="F17" s="51"/>
      <c r="G17" s="51"/>
      <c r="H17" s="51"/>
      <c r="I17" s="60"/>
      <c r="J17" s="68">
        <f>SUM(D17:I17)</f>
        <v>0</v>
      </c>
      <c r="K17" s="64"/>
      <c r="L17" s="51"/>
      <c r="M17" s="51"/>
      <c r="N17" s="51"/>
      <c r="O17" s="51"/>
      <c r="P17" s="81"/>
      <c r="Q17" s="68">
        <f>SUM(K17:P17)</f>
        <v>0</v>
      </c>
      <c r="R17" s="64">
        <f>J17+Q17</f>
        <v>0</v>
      </c>
      <c r="S17" s="16"/>
    </row>
    <row r="18" spans="1:19" s="17" customFormat="1" ht="16.5" customHeight="1" thickBot="1">
      <c r="A18" s="103"/>
      <c r="B18" s="18" t="s">
        <v>42</v>
      </c>
      <c r="C18" s="32" t="s">
        <v>3</v>
      </c>
      <c r="D18" s="57">
        <f>IF(D16=0,,D17/D16*1000)</f>
        <v>0</v>
      </c>
      <c r="E18" s="52">
        <f>IF(E16=0,,E17/E16*1000)</f>
        <v>0</v>
      </c>
      <c r="F18" s="52">
        <f aca="true" t="shared" si="4" ref="F18:R18">IF(F16=0,,F17/F16*1000)</f>
        <v>0</v>
      </c>
      <c r="G18" s="52">
        <f t="shared" si="4"/>
        <v>0</v>
      </c>
      <c r="H18" s="52">
        <f t="shared" si="4"/>
        <v>0</v>
      </c>
      <c r="I18" s="61">
        <f t="shared" si="4"/>
        <v>0</v>
      </c>
      <c r="J18" s="69">
        <f t="shared" si="4"/>
        <v>0</v>
      </c>
      <c r="K18" s="65">
        <f t="shared" si="4"/>
        <v>0</v>
      </c>
      <c r="L18" s="52">
        <v>0</v>
      </c>
      <c r="M18" s="52">
        <v>0</v>
      </c>
      <c r="N18" s="52">
        <f t="shared" si="4"/>
        <v>0</v>
      </c>
      <c r="O18" s="52">
        <f t="shared" si="4"/>
        <v>0</v>
      </c>
      <c r="P18" s="82">
        <f t="shared" si="4"/>
        <v>0</v>
      </c>
      <c r="Q18" s="69">
        <f t="shared" si="4"/>
        <v>0</v>
      </c>
      <c r="R18" s="65">
        <f t="shared" si="4"/>
        <v>0</v>
      </c>
      <c r="S18" s="46"/>
    </row>
    <row r="19" spans="1:19" s="17" customFormat="1" ht="16.5" customHeight="1">
      <c r="A19" s="110" t="s">
        <v>45</v>
      </c>
      <c r="B19" s="30" t="s">
        <v>9</v>
      </c>
      <c r="C19" s="31" t="s">
        <v>1</v>
      </c>
      <c r="D19" s="56"/>
      <c r="E19" s="51"/>
      <c r="F19" s="51"/>
      <c r="G19" s="51"/>
      <c r="H19" s="51"/>
      <c r="I19" s="60"/>
      <c r="J19" s="68">
        <f>SUM(D19:I19)</f>
        <v>0</v>
      </c>
      <c r="K19" s="64"/>
      <c r="L19" s="51"/>
      <c r="M19" s="51"/>
      <c r="N19" s="51"/>
      <c r="O19" s="51"/>
      <c r="P19" s="80"/>
      <c r="Q19" s="68">
        <f>SUM(K19:P19)</f>
        <v>0</v>
      </c>
      <c r="R19" s="64">
        <f>J19+Q19</f>
        <v>0</v>
      </c>
      <c r="S19" s="16"/>
    </row>
    <row r="20" spans="1:19" s="17" customFormat="1" ht="16.5" customHeight="1">
      <c r="A20" s="111"/>
      <c r="B20" s="30" t="s">
        <v>10</v>
      </c>
      <c r="C20" s="31" t="s">
        <v>2</v>
      </c>
      <c r="D20" s="56"/>
      <c r="E20" s="51"/>
      <c r="F20" s="51"/>
      <c r="G20" s="51"/>
      <c r="H20" s="51"/>
      <c r="I20" s="60"/>
      <c r="J20" s="68">
        <f>SUM(D20:I20)</f>
        <v>0</v>
      </c>
      <c r="K20" s="64"/>
      <c r="L20" s="51"/>
      <c r="M20" s="51"/>
      <c r="N20" s="51"/>
      <c r="O20" s="51"/>
      <c r="P20" s="81"/>
      <c r="Q20" s="68">
        <f>SUM(K20:P20)</f>
        <v>0</v>
      </c>
      <c r="R20" s="64">
        <f>J20+Q20</f>
        <v>0</v>
      </c>
      <c r="S20" s="16"/>
    </row>
    <row r="21" spans="1:19" s="17" customFormat="1" ht="16.5" customHeight="1" thickBot="1">
      <c r="A21" s="112"/>
      <c r="B21" s="18" t="s">
        <v>42</v>
      </c>
      <c r="C21" s="32" t="s">
        <v>3</v>
      </c>
      <c r="D21" s="57">
        <f>IF(D19=0,,D20/D19*1000)</f>
        <v>0</v>
      </c>
      <c r="E21" s="52">
        <f>IF(E19=0,,E20/E19*1000)</f>
        <v>0</v>
      </c>
      <c r="F21" s="52">
        <f aca="true" t="shared" si="5" ref="F21:R21">IF(F19=0,,F20/F19*1000)</f>
        <v>0</v>
      </c>
      <c r="G21" s="52">
        <f t="shared" si="5"/>
        <v>0</v>
      </c>
      <c r="H21" s="52">
        <f t="shared" si="5"/>
        <v>0</v>
      </c>
      <c r="I21" s="61">
        <f t="shared" si="5"/>
        <v>0</v>
      </c>
      <c r="J21" s="69">
        <f t="shared" si="5"/>
        <v>0</v>
      </c>
      <c r="K21" s="65">
        <f t="shared" si="5"/>
        <v>0</v>
      </c>
      <c r="L21" s="52">
        <v>0</v>
      </c>
      <c r="M21" s="52">
        <v>0</v>
      </c>
      <c r="N21" s="52">
        <f t="shared" si="5"/>
        <v>0</v>
      </c>
      <c r="O21" s="52">
        <f t="shared" si="5"/>
        <v>0</v>
      </c>
      <c r="P21" s="82">
        <f t="shared" si="5"/>
        <v>0</v>
      </c>
      <c r="Q21" s="69">
        <f t="shared" si="5"/>
        <v>0</v>
      </c>
      <c r="R21" s="65">
        <f t="shared" si="5"/>
        <v>0</v>
      </c>
      <c r="S21" s="46"/>
    </row>
    <row r="22" spans="1:19" s="17" customFormat="1" ht="16.5" customHeight="1">
      <c r="A22" s="101" t="s">
        <v>53</v>
      </c>
      <c r="B22" s="30" t="s">
        <v>9</v>
      </c>
      <c r="C22" s="31" t="s">
        <v>1</v>
      </c>
      <c r="D22" s="56"/>
      <c r="E22" s="51"/>
      <c r="F22" s="51"/>
      <c r="G22" s="51"/>
      <c r="H22" s="51"/>
      <c r="I22" s="60"/>
      <c r="J22" s="68">
        <f>SUM(D22:I22)</f>
        <v>0</v>
      </c>
      <c r="K22" s="64"/>
      <c r="L22" s="51"/>
      <c r="M22" s="51"/>
      <c r="N22" s="51"/>
      <c r="O22" s="51"/>
      <c r="P22" s="80"/>
      <c r="Q22" s="68">
        <f>SUM(K22:P22)</f>
        <v>0</v>
      </c>
      <c r="R22" s="64">
        <f>J22+Q22</f>
        <v>0</v>
      </c>
      <c r="S22" s="16"/>
    </row>
    <row r="23" spans="1:19" s="17" customFormat="1" ht="16.5" customHeight="1">
      <c r="A23" s="102"/>
      <c r="B23" s="30" t="s">
        <v>10</v>
      </c>
      <c r="C23" s="31" t="s">
        <v>2</v>
      </c>
      <c r="D23" s="56"/>
      <c r="E23" s="51"/>
      <c r="F23" s="51"/>
      <c r="G23" s="51"/>
      <c r="H23" s="51"/>
      <c r="I23" s="60"/>
      <c r="J23" s="68">
        <f>SUM(D23:I23)</f>
        <v>0</v>
      </c>
      <c r="K23" s="64"/>
      <c r="L23" s="51"/>
      <c r="M23" s="51"/>
      <c r="N23" s="51"/>
      <c r="O23" s="51"/>
      <c r="P23" s="81"/>
      <c r="Q23" s="68">
        <f>SUM(K23:P23)</f>
        <v>0</v>
      </c>
      <c r="R23" s="64">
        <f>J23+Q23</f>
        <v>0</v>
      </c>
      <c r="S23" s="16"/>
    </row>
    <row r="24" spans="1:19" s="17" customFormat="1" ht="16.5" customHeight="1" thickBot="1">
      <c r="A24" s="103"/>
      <c r="B24" s="18" t="s">
        <v>42</v>
      </c>
      <c r="C24" s="32" t="s">
        <v>3</v>
      </c>
      <c r="D24" s="57">
        <f>IF(D22=0,,D23/D22*1000)</f>
        <v>0</v>
      </c>
      <c r="E24" s="52">
        <f>IF(E22=0,,E23/E22*1000)</f>
        <v>0</v>
      </c>
      <c r="F24" s="52">
        <f aca="true" t="shared" si="6" ref="F24:R24">IF(F22=0,,F23/F22*1000)</f>
        <v>0</v>
      </c>
      <c r="G24" s="52">
        <f t="shared" si="6"/>
        <v>0</v>
      </c>
      <c r="H24" s="52">
        <f t="shared" si="6"/>
        <v>0</v>
      </c>
      <c r="I24" s="61">
        <f t="shared" si="6"/>
        <v>0</v>
      </c>
      <c r="J24" s="69">
        <f t="shared" si="6"/>
        <v>0</v>
      </c>
      <c r="K24" s="65">
        <f t="shared" si="6"/>
        <v>0</v>
      </c>
      <c r="L24" s="52">
        <v>0</v>
      </c>
      <c r="M24" s="52">
        <v>0</v>
      </c>
      <c r="N24" s="52">
        <f t="shared" si="6"/>
        <v>0</v>
      </c>
      <c r="O24" s="52">
        <f t="shared" si="6"/>
        <v>0</v>
      </c>
      <c r="P24" s="82">
        <f t="shared" si="6"/>
        <v>0</v>
      </c>
      <c r="Q24" s="69">
        <f t="shared" si="6"/>
        <v>0</v>
      </c>
      <c r="R24" s="65">
        <f t="shared" si="6"/>
        <v>0</v>
      </c>
      <c r="S24" s="46"/>
    </row>
    <row r="25" spans="1:19" s="17" customFormat="1" ht="16.5" customHeight="1">
      <c r="A25" s="101" t="s">
        <v>54</v>
      </c>
      <c r="B25" s="30" t="s">
        <v>9</v>
      </c>
      <c r="C25" s="31" t="s">
        <v>1</v>
      </c>
      <c r="D25" s="56"/>
      <c r="E25" s="51"/>
      <c r="F25" s="51"/>
      <c r="G25" s="51"/>
      <c r="H25" s="51"/>
      <c r="I25" s="60"/>
      <c r="J25" s="68">
        <f>SUM(D25:I25)</f>
        <v>0</v>
      </c>
      <c r="K25" s="64"/>
      <c r="L25" s="51"/>
      <c r="M25" s="51"/>
      <c r="N25" s="51"/>
      <c r="O25" s="51"/>
      <c r="P25" s="80"/>
      <c r="Q25" s="68">
        <f>SUM(K25:P25)</f>
        <v>0</v>
      </c>
      <c r="R25" s="64">
        <f>J25+Q25</f>
        <v>0</v>
      </c>
      <c r="S25" s="16"/>
    </row>
    <row r="26" spans="1:19" s="17" customFormat="1" ht="16.5" customHeight="1">
      <c r="A26" s="102"/>
      <c r="B26" s="30" t="s">
        <v>10</v>
      </c>
      <c r="C26" s="31" t="s">
        <v>2</v>
      </c>
      <c r="D26" s="56"/>
      <c r="E26" s="51"/>
      <c r="F26" s="51"/>
      <c r="G26" s="51"/>
      <c r="H26" s="51"/>
      <c r="I26" s="60"/>
      <c r="J26" s="68">
        <f>SUM(D26:I26)</f>
        <v>0</v>
      </c>
      <c r="K26" s="64"/>
      <c r="L26" s="51"/>
      <c r="M26" s="51"/>
      <c r="N26" s="51"/>
      <c r="O26" s="51"/>
      <c r="P26" s="81"/>
      <c r="Q26" s="68">
        <f>SUM(K26:P26)</f>
        <v>0</v>
      </c>
      <c r="R26" s="64">
        <f>J26+Q26</f>
        <v>0</v>
      </c>
      <c r="S26" s="16"/>
    </row>
    <row r="27" spans="1:19" s="17" customFormat="1" ht="16.5" customHeight="1" thickBot="1">
      <c r="A27" s="103"/>
      <c r="B27" s="18" t="s">
        <v>42</v>
      </c>
      <c r="C27" s="32" t="s">
        <v>3</v>
      </c>
      <c r="D27" s="57">
        <f>IF(D25=0,,D26/D25*1000)</f>
        <v>0</v>
      </c>
      <c r="E27" s="52">
        <f>IF(E25=0,,E26/E25*1000)</f>
        <v>0</v>
      </c>
      <c r="F27" s="52">
        <f aca="true" t="shared" si="7" ref="F27:R27">IF(F25=0,,F26/F25*1000)</f>
        <v>0</v>
      </c>
      <c r="G27" s="52">
        <f t="shared" si="7"/>
        <v>0</v>
      </c>
      <c r="H27" s="52">
        <f t="shared" si="7"/>
        <v>0</v>
      </c>
      <c r="I27" s="61">
        <f t="shared" si="7"/>
        <v>0</v>
      </c>
      <c r="J27" s="69">
        <f t="shared" si="7"/>
        <v>0</v>
      </c>
      <c r="K27" s="65">
        <f t="shared" si="7"/>
        <v>0</v>
      </c>
      <c r="L27" s="52">
        <v>0</v>
      </c>
      <c r="M27" s="52">
        <v>0</v>
      </c>
      <c r="N27" s="52">
        <f t="shared" si="7"/>
        <v>0</v>
      </c>
      <c r="O27" s="52">
        <f t="shared" si="7"/>
        <v>0</v>
      </c>
      <c r="P27" s="82">
        <f t="shared" si="7"/>
        <v>0</v>
      </c>
      <c r="Q27" s="69">
        <f t="shared" si="7"/>
        <v>0</v>
      </c>
      <c r="R27" s="65">
        <f t="shared" si="7"/>
        <v>0</v>
      </c>
      <c r="S27" s="46"/>
    </row>
    <row r="28" spans="1:19" s="17" customFormat="1" ht="16.5" customHeight="1">
      <c r="A28" s="101" t="s">
        <v>11</v>
      </c>
      <c r="B28" s="30" t="s">
        <v>9</v>
      </c>
      <c r="C28" s="31" t="s">
        <v>1</v>
      </c>
      <c r="D28" s="83"/>
      <c r="E28" s="51">
        <v>5</v>
      </c>
      <c r="F28" s="51"/>
      <c r="G28" s="51"/>
      <c r="H28" s="51"/>
      <c r="I28" s="80"/>
      <c r="J28" s="68">
        <f>SUM(D28:I28)</f>
        <v>5</v>
      </c>
      <c r="K28" s="64"/>
      <c r="L28" s="51"/>
      <c r="M28" s="51"/>
      <c r="N28" s="51"/>
      <c r="O28" s="51"/>
      <c r="P28" s="80">
        <v>10</v>
      </c>
      <c r="Q28" s="68">
        <f>SUM(K28:P28)</f>
        <v>10</v>
      </c>
      <c r="R28" s="64">
        <f>J28+Q28</f>
        <v>15</v>
      </c>
      <c r="S28" s="16"/>
    </row>
    <row r="29" spans="1:19" s="17" customFormat="1" ht="16.5" customHeight="1">
      <c r="A29" s="102"/>
      <c r="B29" s="30" t="s">
        <v>10</v>
      </c>
      <c r="C29" s="31" t="s">
        <v>2</v>
      </c>
      <c r="D29" s="83"/>
      <c r="E29" s="51">
        <v>3008</v>
      </c>
      <c r="F29" s="51"/>
      <c r="G29" s="51"/>
      <c r="H29" s="53"/>
      <c r="I29" s="81"/>
      <c r="J29" s="68">
        <f>SUM(D29:I29)</f>
        <v>3008</v>
      </c>
      <c r="K29" s="64"/>
      <c r="L29" s="51"/>
      <c r="M29" s="51"/>
      <c r="N29" s="51"/>
      <c r="O29" s="51"/>
      <c r="P29" s="81">
        <v>6146</v>
      </c>
      <c r="Q29" s="68">
        <f>SUM(K29:P29)</f>
        <v>6146</v>
      </c>
      <c r="R29" s="64">
        <f>J29+Q29</f>
        <v>9154</v>
      </c>
      <c r="S29" s="16"/>
    </row>
    <row r="30" spans="1:19" s="17" customFormat="1" ht="16.5" customHeight="1" thickBot="1">
      <c r="A30" s="103"/>
      <c r="B30" s="18" t="s">
        <v>42</v>
      </c>
      <c r="C30" s="32" t="s">
        <v>3</v>
      </c>
      <c r="D30" s="84">
        <f>IF(D28=0,,D29/D28*1000)</f>
        <v>0</v>
      </c>
      <c r="E30" s="52">
        <f>IF(E28=0,,E29/E28*1000)</f>
        <v>601600</v>
      </c>
      <c r="F30" s="52">
        <f aca="true" t="shared" si="8" ref="F30:R30">IF(F28=0,,F29/F28*1000)</f>
        <v>0</v>
      </c>
      <c r="G30" s="52">
        <f t="shared" si="8"/>
        <v>0</v>
      </c>
      <c r="H30" s="52">
        <f t="shared" si="8"/>
        <v>0</v>
      </c>
      <c r="I30" s="82">
        <f t="shared" si="8"/>
        <v>0</v>
      </c>
      <c r="J30" s="69">
        <f t="shared" si="8"/>
        <v>601600</v>
      </c>
      <c r="K30" s="65">
        <f t="shared" si="8"/>
        <v>0</v>
      </c>
      <c r="L30" s="52">
        <v>0</v>
      </c>
      <c r="M30" s="52">
        <v>0</v>
      </c>
      <c r="N30" s="52">
        <f t="shared" si="8"/>
        <v>0</v>
      </c>
      <c r="O30" s="52">
        <f t="shared" si="8"/>
        <v>0</v>
      </c>
      <c r="P30" s="82">
        <f t="shared" si="8"/>
        <v>614600</v>
      </c>
      <c r="Q30" s="69">
        <f t="shared" si="8"/>
        <v>614600</v>
      </c>
      <c r="R30" s="65">
        <f t="shared" si="8"/>
        <v>610266.6666666666</v>
      </c>
      <c r="S30" s="46"/>
    </row>
    <row r="31" spans="1:19" s="17" customFormat="1" ht="16.5" customHeight="1">
      <c r="A31" s="101" t="s">
        <v>55</v>
      </c>
      <c r="B31" s="30" t="s">
        <v>9</v>
      </c>
      <c r="C31" s="31" t="s">
        <v>1</v>
      </c>
      <c r="D31" s="83"/>
      <c r="E31" s="51"/>
      <c r="F31" s="51"/>
      <c r="G31" s="51"/>
      <c r="H31" s="51"/>
      <c r="I31" s="80"/>
      <c r="J31" s="68">
        <f>SUM(D31:I31)</f>
        <v>0</v>
      </c>
      <c r="K31" s="64"/>
      <c r="L31" s="51"/>
      <c r="M31" s="51"/>
      <c r="N31" s="51"/>
      <c r="O31" s="51"/>
      <c r="P31" s="80"/>
      <c r="Q31" s="68">
        <f>SUM(K31:P31)</f>
        <v>0</v>
      </c>
      <c r="R31" s="64">
        <f>J31+Q31</f>
        <v>0</v>
      </c>
      <c r="S31" s="16"/>
    </row>
    <row r="32" spans="1:19" s="17" customFormat="1" ht="16.5" customHeight="1">
      <c r="A32" s="102"/>
      <c r="B32" s="30" t="s">
        <v>10</v>
      </c>
      <c r="C32" s="31" t="s">
        <v>2</v>
      </c>
      <c r="D32" s="83"/>
      <c r="E32" s="53"/>
      <c r="F32" s="53"/>
      <c r="G32" s="96"/>
      <c r="H32" s="96"/>
      <c r="I32" s="81"/>
      <c r="J32" s="70">
        <f>SUM(D32:I32)</f>
        <v>0</v>
      </c>
      <c r="K32" s="66"/>
      <c r="L32" s="53"/>
      <c r="M32" s="53"/>
      <c r="N32" s="53"/>
      <c r="O32" s="53"/>
      <c r="P32" s="81"/>
      <c r="Q32" s="70">
        <f>SUM(K32:P32)</f>
        <v>0</v>
      </c>
      <c r="R32" s="66">
        <f>J32+Q32</f>
        <v>0</v>
      </c>
      <c r="S32" s="16"/>
    </row>
    <row r="33" spans="1:19" s="17" customFormat="1" ht="16.5" customHeight="1" thickBot="1">
      <c r="A33" s="103"/>
      <c r="B33" s="18" t="s">
        <v>42</v>
      </c>
      <c r="C33" s="32" t="s">
        <v>3</v>
      </c>
      <c r="D33" s="84">
        <f>IF(D31=0,,D32/D31*1000)</f>
        <v>0</v>
      </c>
      <c r="E33" s="52">
        <f>IF(E31=0,,E32/E31*1000)</f>
        <v>0</v>
      </c>
      <c r="F33" s="52">
        <f aca="true" t="shared" si="9" ref="F33:R33">IF(F31=0,,F32/F31*1000)</f>
        <v>0</v>
      </c>
      <c r="G33" s="52">
        <f t="shared" si="9"/>
        <v>0</v>
      </c>
      <c r="H33" s="52">
        <f t="shared" si="9"/>
        <v>0</v>
      </c>
      <c r="I33" s="82">
        <f t="shared" si="9"/>
        <v>0</v>
      </c>
      <c r="J33" s="69">
        <f t="shared" si="9"/>
        <v>0</v>
      </c>
      <c r="K33" s="65">
        <f t="shared" si="9"/>
        <v>0</v>
      </c>
      <c r="L33" s="52">
        <v>0</v>
      </c>
      <c r="M33" s="52">
        <v>0</v>
      </c>
      <c r="N33" s="52">
        <f t="shared" si="9"/>
        <v>0</v>
      </c>
      <c r="O33" s="52">
        <f t="shared" si="9"/>
        <v>0</v>
      </c>
      <c r="P33" s="82">
        <f t="shared" si="9"/>
        <v>0</v>
      </c>
      <c r="Q33" s="69">
        <f t="shared" si="9"/>
        <v>0</v>
      </c>
      <c r="R33" s="65">
        <f t="shared" si="9"/>
        <v>0</v>
      </c>
      <c r="S33" s="46"/>
    </row>
    <row r="34" spans="1:19" s="17" customFormat="1" ht="16.5" customHeight="1">
      <c r="A34" s="101" t="s">
        <v>56</v>
      </c>
      <c r="B34" s="30" t="s">
        <v>9</v>
      </c>
      <c r="C34" s="31" t="s">
        <v>1</v>
      </c>
      <c r="D34" s="83"/>
      <c r="E34" s="51"/>
      <c r="F34" s="51"/>
      <c r="G34" s="51"/>
      <c r="H34" s="51"/>
      <c r="I34" s="80"/>
      <c r="J34" s="68">
        <f>SUM(D34:I34)</f>
        <v>0</v>
      </c>
      <c r="K34" s="64"/>
      <c r="L34" s="51"/>
      <c r="M34" s="51"/>
      <c r="N34" s="51"/>
      <c r="O34" s="51"/>
      <c r="P34" s="80"/>
      <c r="Q34" s="68">
        <f>SUM(K34:P34)</f>
        <v>0</v>
      </c>
      <c r="R34" s="64">
        <f>J34+Q34</f>
        <v>0</v>
      </c>
      <c r="S34" s="16"/>
    </row>
    <row r="35" spans="1:19" s="17" customFormat="1" ht="16.5" customHeight="1">
      <c r="A35" s="102"/>
      <c r="B35" s="30" t="s">
        <v>10</v>
      </c>
      <c r="C35" s="31" t="s">
        <v>2</v>
      </c>
      <c r="D35" s="83"/>
      <c r="E35" s="51"/>
      <c r="F35" s="51"/>
      <c r="G35" s="51"/>
      <c r="H35" s="53"/>
      <c r="I35" s="80"/>
      <c r="J35" s="68">
        <f>SUM(D35:I35)</f>
        <v>0</v>
      </c>
      <c r="K35" s="64"/>
      <c r="L35" s="51"/>
      <c r="M35" s="51"/>
      <c r="N35" s="51"/>
      <c r="O35" s="51"/>
      <c r="P35" s="81"/>
      <c r="Q35" s="68">
        <f>SUM(K35:P35)</f>
        <v>0</v>
      </c>
      <c r="R35" s="64">
        <f>J35+Q35</f>
        <v>0</v>
      </c>
      <c r="S35" s="16"/>
    </row>
    <row r="36" spans="1:19" s="17" customFormat="1" ht="16.5" customHeight="1" thickBot="1">
      <c r="A36" s="103"/>
      <c r="B36" s="18" t="s">
        <v>42</v>
      </c>
      <c r="C36" s="32" t="s">
        <v>3</v>
      </c>
      <c r="D36" s="84">
        <f>IF(D34=0,,D35/D34*1000)</f>
        <v>0</v>
      </c>
      <c r="E36" s="52">
        <f>IF(E34=0,,E35/E34*1000)</f>
        <v>0</v>
      </c>
      <c r="F36" s="52">
        <f aca="true" t="shared" si="10" ref="F36:R36">IF(F34=0,,F35/F34*1000)</f>
        <v>0</v>
      </c>
      <c r="G36" s="52">
        <f t="shared" si="10"/>
        <v>0</v>
      </c>
      <c r="H36" s="52">
        <f t="shared" si="10"/>
        <v>0</v>
      </c>
      <c r="I36" s="82">
        <f t="shared" si="10"/>
        <v>0</v>
      </c>
      <c r="J36" s="69">
        <f t="shared" si="10"/>
        <v>0</v>
      </c>
      <c r="K36" s="65">
        <f t="shared" si="10"/>
        <v>0</v>
      </c>
      <c r="L36" s="52">
        <v>0</v>
      </c>
      <c r="M36" s="52">
        <v>0</v>
      </c>
      <c r="N36" s="52">
        <f t="shared" si="10"/>
        <v>0</v>
      </c>
      <c r="O36" s="52">
        <f t="shared" si="10"/>
        <v>0</v>
      </c>
      <c r="P36" s="82">
        <f t="shared" si="10"/>
        <v>0</v>
      </c>
      <c r="Q36" s="69">
        <f t="shared" si="10"/>
        <v>0</v>
      </c>
      <c r="R36" s="65">
        <f t="shared" si="10"/>
        <v>0</v>
      </c>
      <c r="S36" s="46"/>
    </row>
    <row r="37" spans="1:19" s="17" customFormat="1" ht="16.5" customHeight="1">
      <c r="A37" s="101" t="s">
        <v>12</v>
      </c>
      <c r="B37" s="30" t="s">
        <v>9</v>
      </c>
      <c r="C37" s="31" t="s">
        <v>1</v>
      </c>
      <c r="D37" s="83">
        <v>7</v>
      </c>
      <c r="E37" s="54">
        <v>11</v>
      </c>
      <c r="F37" s="51">
        <v>1</v>
      </c>
      <c r="G37" s="51">
        <v>3</v>
      </c>
      <c r="H37" s="51">
        <v>6</v>
      </c>
      <c r="I37" s="80"/>
      <c r="J37" s="71">
        <f>SUM(D37:I37)</f>
        <v>28</v>
      </c>
      <c r="K37" s="80">
        <v>5</v>
      </c>
      <c r="L37" s="54"/>
      <c r="M37" s="51">
        <v>2</v>
      </c>
      <c r="N37" s="51"/>
      <c r="O37" s="51">
        <v>8</v>
      </c>
      <c r="P37" s="80">
        <v>8</v>
      </c>
      <c r="Q37" s="71">
        <f>SUM(K37:P37)</f>
        <v>23</v>
      </c>
      <c r="R37" s="67">
        <f>J37+Q37</f>
        <v>51</v>
      </c>
      <c r="S37" s="16"/>
    </row>
    <row r="38" spans="1:19" s="17" customFormat="1" ht="16.5" customHeight="1">
      <c r="A38" s="102"/>
      <c r="B38" s="30" t="s">
        <v>10</v>
      </c>
      <c r="C38" s="31" t="s">
        <v>2</v>
      </c>
      <c r="D38" s="83">
        <v>4667</v>
      </c>
      <c r="E38" s="53">
        <f>8872+485</f>
        <v>9357</v>
      </c>
      <c r="F38" s="53">
        <v>1771</v>
      </c>
      <c r="G38" s="53">
        <v>4549</v>
      </c>
      <c r="H38" s="53">
        <v>5160</v>
      </c>
      <c r="I38" s="81">
        <v>877</v>
      </c>
      <c r="J38" s="70">
        <f>SUM(D38:I38)</f>
        <v>26381</v>
      </c>
      <c r="K38" s="81">
        <v>6523</v>
      </c>
      <c r="L38" s="53">
        <v>4776</v>
      </c>
      <c r="M38" s="53">
        <v>2953</v>
      </c>
      <c r="N38" s="53">
        <v>9170</v>
      </c>
      <c r="O38" s="53">
        <v>5696</v>
      </c>
      <c r="P38" s="81">
        <f>5617+851</f>
        <v>6468</v>
      </c>
      <c r="Q38" s="70">
        <f>SUM(K38:P38)</f>
        <v>35586</v>
      </c>
      <c r="R38" s="66">
        <f>J38+Q38</f>
        <v>61967</v>
      </c>
      <c r="S38" s="16"/>
    </row>
    <row r="39" spans="1:19" s="17" customFormat="1" ht="16.5" customHeight="1" thickBot="1">
      <c r="A39" s="103"/>
      <c r="B39" s="18" t="s">
        <v>42</v>
      </c>
      <c r="C39" s="32" t="s">
        <v>3</v>
      </c>
      <c r="D39" s="84">
        <f aca="true" t="shared" si="11" ref="D39:P39">IF(D37=0,,D38/D37*1000)</f>
        <v>666714.2857142857</v>
      </c>
      <c r="E39" s="52">
        <f t="shared" si="11"/>
        <v>850636.3636363636</v>
      </c>
      <c r="F39" s="52">
        <f t="shared" si="11"/>
        <v>1771000</v>
      </c>
      <c r="G39" s="52">
        <f t="shared" si="11"/>
        <v>1516333.3333333333</v>
      </c>
      <c r="H39" s="52">
        <f t="shared" si="11"/>
        <v>860000</v>
      </c>
      <c r="I39" s="82">
        <f t="shared" si="11"/>
        <v>0</v>
      </c>
      <c r="J39" s="69">
        <f t="shared" si="11"/>
        <v>942178.5714285715</v>
      </c>
      <c r="K39" s="82">
        <f>IF(K37=0,,K38/K37*1000)</f>
        <v>1304600</v>
      </c>
      <c r="L39" s="52">
        <f t="shared" si="11"/>
        <v>0</v>
      </c>
      <c r="M39" s="52">
        <f t="shared" si="11"/>
        <v>1476500</v>
      </c>
      <c r="N39" s="52">
        <f t="shared" si="11"/>
        <v>0</v>
      </c>
      <c r="O39" s="52">
        <f t="shared" si="11"/>
        <v>712000</v>
      </c>
      <c r="P39" s="82">
        <f t="shared" si="11"/>
        <v>808500</v>
      </c>
      <c r="Q39" s="69">
        <f>IF(Q37=0,,Q38/Q37*1000)</f>
        <v>1547217.3913043477</v>
      </c>
      <c r="R39" s="65">
        <f>IF(R37=0,,R38/R37*1000)</f>
        <v>1215039.2156862745</v>
      </c>
      <c r="S39" s="46"/>
    </row>
    <row r="40" spans="1:19" s="17" customFormat="1" ht="16.5" customHeight="1">
      <c r="A40" s="101" t="s">
        <v>4</v>
      </c>
      <c r="B40" s="30" t="s">
        <v>9</v>
      </c>
      <c r="C40" s="31" t="s">
        <v>1</v>
      </c>
      <c r="D40" s="59">
        <f aca="true" t="shared" si="12" ref="D40:I41">D4+D7+D10+D13+D16+D19+D22+D25+D28+D31+D34+D37</f>
        <v>7</v>
      </c>
      <c r="E40" s="54">
        <f t="shared" si="12"/>
        <v>16</v>
      </c>
      <c r="F40" s="54">
        <f t="shared" si="12"/>
        <v>1</v>
      </c>
      <c r="G40" s="54">
        <f t="shared" si="12"/>
        <v>3</v>
      </c>
      <c r="H40" s="54">
        <f t="shared" si="12"/>
        <v>6</v>
      </c>
      <c r="I40" s="63">
        <f t="shared" si="12"/>
        <v>0</v>
      </c>
      <c r="J40" s="71">
        <f>SUM(D40:I40)</f>
        <v>33</v>
      </c>
      <c r="K40" s="67">
        <f aca="true" t="shared" si="13" ref="K40:P40">K4+K7+K10+K13+K16+K19+K22+K25+K28+K31+K34+K37</f>
        <v>5</v>
      </c>
      <c r="L40" s="54">
        <f t="shared" si="13"/>
        <v>0</v>
      </c>
      <c r="M40" s="54">
        <f t="shared" si="13"/>
        <v>2</v>
      </c>
      <c r="N40" s="54">
        <f t="shared" si="13"/>
        <v>0</v>
      </c>
      <c r="O40" s="54">
        <f t="shared" si="13"/>
        <v>8</v>
      </c>
      <c r="P40" s="63">
        <f t="shared" si="13"/>
        <v>18</v>
      </c>
      <c r="Q40" s="71">
        <f>SUM(K40:P40)</f>
        <v>33</v>
      </c>
      <c r="R40" s="67">
        <f>J40+Q40</f>
        <v>66</v>
      </c>
      <c r="S40" s="16"/>
    </row>
    <row r="41" spans="1:19" s="17" customFormat="1" ht="16.5" customHeight="1">
      <c r="A41" s="102"/>
      <c r="B41" s="30" t="s">
        <v>10</v>
      </c>
      <c r="C41" s="31" t="s">
        <v>2</v>
      </c>
      <c r="D41" s="58">
        <f t="shared" si="12"/>
        <v>4667</v>
      </c>
      <c r="E41" s="53">
        <f t="shared" si="12"/>
        <v>12365</v>
      </c>
      <c r="F41" s="53">
        <f t="shared" si="12"/>
        <v>1771</v>
      </c>
      <c r="G41" s="53">
        <f t="shared" si="12"/>
        <v>4549</v>
      </c>
      <c r="H41" s="53">
        <f t="shared" si="12"/>
        <v>5160</v>
      </c>
      <c r="I41" s="62">
        <f t="shared" si="12"/>
        <v>877</v>
      </c>
      <c r="J41" s="70">
        <f>SUM(D41:I41)</f>
        <v>29389</v>
      </c>
      <c r="K41" s="66">
        <f aca="true" t="shared" si="14" ref="K41:P41">K5+K8+K11+K14+K17+K20+K23+K26+K29+K32+K35+K38</f>
        <v>6523</v>
      </c>
      <c r="L41" s="53">
        <f t="shared" si="14"/>
        <v>4776</v>
      </c>
      <c r="M41" s="53">
        <f t="shared" si="14"/>
        <v>2953</v>
      </c>
      <c r="N41" s="53">
        <f t="shared" si="14"/>
        <v>9170</v>
      </c>
      <c r="O41" s="53">
        <f t="shared" si="14"/>
        <v>5696</v>
      </c>
      <c r="P41" s="62">
        <f t="shared" si="14"/>
        <v>12614</v>
      </c>
      <c r="Q41" s="70">
        <f>SUM(K41:P41)</f>
        <v>41732</v>
      </c>
      <c r="R41" s="66">
        <f>J41+Q41</f>
        <v>71121</v>
      </c>
      <c r="S41" s="16"/>
    </row>
    <row r="42" spans="1:19" s="17" customFormat="1" ht="16.5" customHeight="1" thickBot="1">
      <c r="A42" s="103"/>
      <c r="B42" s="18" t="s">
        <v>42</v>
      </c>
      <c r="C42" s="32" t="s">
        <v>3</v>
      </c>
      <c r="D42" s="57">
        <f aca="true" t="shared" si="15" ref="D42:I42">IF(D40=0,,D41/D40*1000)</f>
        <v>666714.2857142857</v>
      </c>
      <c r="E42" s="52">
        <f t="shared" si="15"/>
        <v>772812.5</v>
      </c>
      <c r="F42" s="52">
        <f t="shared" si="15"/>
        <v>1771000</v>
      </c>
      <c r="G42" s="52">
        <f t="shared" si="15"/>
        <v>1516333.3333333333</v>
      </c>
      <c r="H42" s="52">
        <f t="shared" si="15"/>
        <v>860000</v>
      </c>
      <c r="I42" s="61">
        <f t="shared" si="15"/>
        <v>0</v>
      </c>
      <c r="J42" s="69">
        <f aca="true" t="shared" si="16" ref="J42:R42">IF(J40=0,,J41/J40*1000)</f>
        <v>890575.7575757576</v>
      </c>
      <c r="K42" s="65">
        <f t="shared" si="16"/>
        <v>1304600</v>
      </c>
      <c r="L42" s="52">
        <f t="shared" si="16"/>
        <v>0</v>
      </c>
      <c r="M42" s="52">
        <f t="shared" si="16"/>
        <v>1476500</v>
      </c>
      <c r="N42" s="52">
        <f t="shared" si="16"/>
        <v>0</v>
      </c>
      <c r="O42" s="52">
        <f t="shared" si="16"/>
        <v>712000</v>
      </c>
      <c r="P42" s="61">
        <f t="shared" si="16"/>
        <v>700777.7777777779</v>
      </c>
      <c r="Q42" s="69">
        <f t="shared" si="16"/>
        <v>1264606.0606060605</v>
      </c>
      <c r="R42" s="65">
        <f t="shared" si="16"/>
        <v>1077590.909090909</v>
      </c>
      <c r="S42" s="46"/>
    </row>
    <row r="43" spans="1:19" s="17" customFormat="1" ht="24" customHeight="1" thickBot="1">
      <c r="A43" s="108" t="s">
        <v>13</v>
      </c>
      <c r="B43" s="109"/>
      <c r="C43" s="109"/>
      <c r="D43" s="74">
        <f>'総合計'!D43</f>
        <v>98.82</v>
      </c>
      <c r="E43" s="75">
        <f>'総合計'!E43</f>
        <v>97.81</v>
      </c>
      <c r="F43" s="75">
        <f>'総合計'!F43</f>
        <v>96.17</v>
      </c>
      <c r="G43" s="75">
        <f>'総合計'!G43</f>
        <v>95.09</v>
      </c>
      <c r="H43" s="75">
        <f>'総合計'!H43</f>
        <v>94.97</v>
      </c>
      <c r="I43" s="76">
        <f>'総合計'!I43</f>
        <v>93.05</v>
      </c>
      <c r="J43" s="77">
        <f>'総合計'!J43</f>
        <v>95.92</v>
      </c>
      <c r="K43" s="78">
        <f>'総合計'!K43</f>
        <v>89.99</v>
      </c>
      <c r="L43" s="75">
        <f>'総合計'!L43</f>
        <v>90.61</v>
      </c>
      <c r="M43" s="75">
        <f>'総合計'!M43</f>
        <v>88.33</v>
      </c>
      <c r="N43" s="75">
        <f>'総合計'!N43</f>
        <v>91.61</v>
      </c>
      <c r="O43" s="75">
        <f>'総合計'!O43</f>
        <v>90.22</v>
      </c>
      <c r="P43" s="76">
        <f>'総合計'!P43</f>
        <v>90.11</v>
      </c>
      <c r="Q43" s="77">
        <f>'総合計'!Q43</f>
        <v>90.16</v>
      </c>
      <c r="R43" s="79">
        <f>'総合計'!R43</f>
        <v>92.97</v>
      </c>
      <c r="S43" s="16"/>
    </row>
    <row r="44" ht="12.75">
      <c r="A44" s="97" t="str">
        <f>'総合計'!A53</f>
        <v>※数値はすべて確定値。</v>
      </c>
    </row>
  </sheetData>
  <mergeCells count="15">
    <mergeCell ref="D1:P1"/>
    <mergeCell ref="A4:A6"/>
    <mergeCell ref="A7:A9"/>
    <mergeCell ref="A10:A12"/>
    <mergeCell ref="A13:A15"/>
    <mergeCell ref="A16:A18"/>
    <mergeCell ref="A19:A21"/>
    <mergeCell ref="A22:A24"/>
    <mergeCell ref="A37:A39"/>
    <mergeCell ref="A40:A42"/>
    <mergeCell ref="A43:C43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71" r:id="rId2"/>
  <headerFooter alignWithMargins="0">
    <oddFooter>&amp;C&amp;20-10-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Zeros="0" zoomScale="55" zoomScaleNormal="55" zoomScaleSheetLayoutView="85" workbookViewId="0" topLeftCell="A1">
      <selection activeCell="Q43" sqref="Q43"/>
    </sheetView>
  </sheetViews>
  <sheetFormatPr defaultColWidth="9.140625" defaultRowHeight="12.75"/>
  <cols>
    <col min="1" max="1" width="14.421875" style="0" customWidth="1"/>
    <col min="4" max="9" width="10.8515625" style="0" customWidth="1"/>
    <col min="10" max="10" width="12.140625" style="0" customWidth="1"/>
    <col min="11" max="16" width="10.8515625" style="0" customWidth="1"/>
    <col min="17" max="18" width="12.140625" style="0" customWidth="1"/>
    <col min="19" max="19" width="8.7109375" style="0" customWidth="1"/>
  </cols>
  <sheetData>
    <row r="1" spans="1:16" ht="28.5" customHeight="1">
      <c r="A1" s="13" t="s">
        <v>4</v>
      </c>
      <c r="B1" s="10" t="s">
        <v>93</v>
      </c>
      <c r="C1" s="1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8" ht="18.75" thickBot="1">
      <c r="A2" s="12" t="s">
        <v>0</v>
      </c>
      <c r="B2" s="1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8">
        <f>'総合計'!Q2</f>
        <v>40616</v>
      </c>
    </row>
    <row r="3" spans="1:19" ht="24" customHeight="1" thickBot="1">
      <c r="A3" s="19" t="s">
        <v>31</v>
      </c>
      <c r="B3" s="20"/>
      <c r="C3" s="20"/>
      <c r="D3" s="21" t="s">
        <v>16</v>
      </c>
      <c r="E3" s="23" t="s">
        <v>17</v>
      </c>
      <c r="F3" s="23" t="s">
        <v>18</v>
      </c>
      <c r="G3" s="23" t="s">
        <v>19</v>
      </c>
      <c r="H3" s="23" t="s">
        <v>20</v>
      </c>
      <c r="I3" s="24" t="s">
        <v>21</v>
      </c>
      <c r="J3" s="25" t="s">
        <v>22</v>
      </c>
      <c r="K3" s="24" t="s">
        <v>23</v>
      </c>
      <c r="L3" s="23" t="s">
        <v>24</v>
      </c>
      <c r="M3" s="23" t="s">
        <v>25</v>
      </c>
      <c r="N3" s="23" t="s">
        <v>26</v>
      </c>
      <c r="O3" s="23" t="s">
        <v>27</v>
      </c>
      <c r="P3" s="24" t="s">
        <v>28</v>
      </c>
      <c r="Q3" s="25" t="s">
        <v>29</v>
      </c>
      <c r="R3" s="26" t="s">
        <v>30</v>
      </c>
      <c r="S3" s="5"/>
    </row>
    <row r="4" spans="1:19" s="17" customFormat="1" ht="16.5" customHeight="1">
      <c r="A4" s="101" t="s">
        <v>41</v>
      </c>
      <c r="B4" s="30" t="s">
        <v>9</v>
      </c>
      <c r="C4" s="31" t="s">
        <v>1</v>
      </c>
      <c r="D4" s="55">
        <f>'P一般'!D4+'B一般'!D4</f>
        <v>116125</v>
      </c>
      <c r="E4" s="51">
        <f>'P一般'!E4+'B一般'!E4</f>
        <v>290229</v>
      </c>
      <c r="F4" s="51">
        <f>'P一般'!F4+'B一般'!F4</f>
        <v>245319</v>
      </c>
      <c r="G4" s="51">
        <f>'P一般'!G4+'B一般'!G4</f>
        <v>165213</v>
      </c>
      <c r="H4" s="51">
        <f>'P一般'!H4+'B一般'!H4</f>
        <v>163085</v>
      </c>
      <c r="I4" s="60">
        <f>'P一般'!I4+'B一般'!I4</f>
        <v>313319</v>
      </c>
      <c r="J4" s="73">
        <f>SUM(D4:I4)</f>
        <v>1293290</v>
      </c>
      <c r="K4" s="64">
        <f>'P一般'!K4+'B一般'!K4</f>
        <v>185741</v>
      </c>
      <c r="L4" s="51">
        <f>'P一般'!L4+'B一般'!L4</f>
        <v>248930</v>
      </c>
      <c r="M4" s="51">
        <f>'P一般'!M4+'B一般'!M4</f>
        <v>174221</v>
      </c>
      <c r="N4" s="51">
        <f>'P一般'!N4+'B一般'!N4</f>
        <v>247817</v>
      </c>
      <c r="O4" s="51">
        <f>'P一般'!O4+'B一般'!O4</f>
        <v>216139</v>
      </c>
      <c r="P4" s="60">
        <f>'P一般'!P4+'B一般'!P4</f>
        <v>134604</v>
      </c>
      <c r="Q4" s="73">
        <f>SUM(K4:P4)</f>
        <v>1207452</v>
      </c>
      <c r="R4" s="64">
        <f>J4+Q4</f>
        <v>2500742</v>
      </c>
      <c r="S4" s="16"/>
    </row>
    <row r="5" spans="1:19" s="17" customFormat="1" ht="16.5" customHeight="1">
      <c r="A5" s="102"/>
      <c r="B5" s="30" t="s">
        <v>10</v>
      </c>
      <c r="C5" s="31" t="s">
        <v>2</v>
      </c>
      <c r="D5" s="56">
        <f>'P一般'!D5+'B一般'!D5</f>
        <v>5214102</v>
      </c>
      <c r="E5" s="51">
        <f>'P一般'!E5+'B一般'!E5</f>
        <v>12798665</v>
      </c>
      <c r="F5" s="51">
        <f>'P一般'!F5+'B一般'!F5</f>
        <v>10486363</v>
      </c>
      <c r="G5" s="51">
        <f>'P一般'!G5+'B一般'!G5</f>
        <v>7116277</v>
      </c>
      <c r="H5" s="51">
        <f>'P一般'!H5+'B一般'!H5</f>
        <v>8282172</v>
      </c>
      <c r="I5" s="60">
        <f>'P一般'!I5+'B一般'!I5</f>
        <v>16364299</v>
      </c>
      <c r="J5" s="68">
        <f>SUM(D5:I5)</f>
        <v>60261878</v>
      </c>
      <c r="K5" s="64">
        <f>'P一般'!K5+'B一般'!K5</f>
        <v>9884032</v>
      </c>
      <c r="L5" s="51">
        <f>'P一般'!L5+'B一般'!L5</f>
        <v>13762930</v>
      </c>
      <c r="M5" s="51">
        <f>'P一般'!M5+'B一般'!M5</f>
        <v>10932935</v>
      </c>
      <c r="N5" s="51">
        <f>'P一般'!N5+'B一般'!N5</f>
        <v>17051117</v>
      </c>
      <c r="O5" s="51">
        <f>'P一般'!O5+'B一般'!O5</f>
        <v>14867198</v>
      </c>
      <c r="P5" s="60">
        <f>'P一般'!P5+'B一般'!P5</f>
        <v>9219951</v>
      </c>
      <c r="Q5" s="68">
        <f>SUM(K5:P5)</f>
        <v>75718163</v>
      </c>
      <c r="R5" s="64">
        <f>J5+Q5</f>
        <v>135980041</v>
      </c>
      <c r="S5" s="16"/>
    </row>
    <row r="6" spans="1:19" s="17" customFormat="1" ht="16.5" customHeight="1" thickBot="1">
      <c r="A6" s="103"/>
      <c r="B6" s="18" t="s">
        <v>42</v>
      </c>
      <c r="C6" s="32" t="s">
        <v>3</v>
      </c>
      <c r="D6" s="57">
        <f aca="true" t="shared" si="0" ref="D6:R6">IF(D4=0,"",(D5/D4)*1000)</f>
        <v>44900.7707212056</v>
      </c>
      <c r="E6" s="52">
        <f t="shared" si="0"/>
        <v>44098.50497365873</v>
      </c>
      <c r="F6" s="52">
        <f t="shared" si="0"/>
        <v>42745.82482400467</v>
      </c>
      <c r="G6" s="52">
        <f t="shared" si="0"/>
        <v>43073.34773897938</v>
      </c>
      <c r="H6" s="52">
        <f t="shared" si="0"/>
        <v>50784.388509059696</v>
      </c>
      <c r="I6" s="61">
        <f t="shared" si="0"/>
        <v>52228.87536344748</v>
      </c>
      <c r="J6" s="69">
        <f t="shared" si="0"/>
        <v>46595.7967663865</v>
      </c>
      <c r="K6" s="65">
        <f t="shared" si="0"/>
        <v>53214.05613192564</v>
      </c>
      <c r="L6" s="52">
        <f t="shared" si="0"/>
        <v>55288.35415578677</v>
      </c>
      <c r="M6" s="52">
        <f t="shared" si="0"/>
        <v>62753.25592207599</v>
      </c>
      <c r="N6" s="52">
        <f t="shared" si="0"/>
        <v>68805.27566712534</v>
      </c>
      <c r="O6" s="52">
        <f t="shared" si="0"/>
        <v>68785.35572016156</v>
      </c>
      <c r="P6" s="61">
        <f t="shared" si="0"/>
        <v>68496.85744851564</v>
      </c>
      <c r="Q6" s="69">
        <f t="shared" si="0"/>
        <v>62709.04599106217</v>
      </c>
      <c r="R6" s="65">
        <f t="shared" si="0"/>
        <v>54375.87763951659</v>
      </c>
      <c r="S6" s="16"/>
    </row>
    <row r="7" spans="1:19" s="17" customFormat="1" ht="16.5" customHeight="1">
      <c r="A7" s="101" t="s">
        <v>51</v>
      </c>
      <c r="B7" s="30" t="s">
        <v>9</v>
      </c>
      <c r="C7" s="31" t="s">
        <v>1</v>
      </c>
      <c r="D7" s="56">
        <f>'P一般'!D7+'B一般'!D7</f>
        <v>180653</v>
      </c>
      <c r="E7" s="51">
        <f>'P一般'!E7+'B一般'!E7</f>
        <v>70662</v>
      </c>
      <c r="F7" s="51">
        <f>'P一般'!F7+'B一般'!F7</f>
        <v>69789</v>
      </c>
      <c r="G7" s="51">
        <f>'P一般'!G7+'B一般'!G7</f>
        <v>62202</v>
      </c>
      <c r="H7" s="51">
        <f>'P一般'!H7+'B一般'!H7</f>
        <v>94788</v>
      </c>
      <c r="I7" s="60">
        <f>'P一般'!I7+'B一般'!I7</f>
        <v>122403</v>
      </c>
      <c r="J7" s="68">
        <f>SUM(D7:I7)</f>
        <v>600497</v>
      </c>
      <c r="K7" s="64">
        <f>'P一般'!K7+'B一般'!K7</f>
        <v>97449</v>
      </c>
      <c r="L7" s="51">
        <f>'P一般'!L7+'B一般'!L7</f>
        <v>187411</v>
      </c>
      <c r="M7" s="51">
        <f>'P一般'!M7+'B一般'!M7</f>
        <v>152855</v>
      </c>
      <c r="N7" s="51">
        <f>'P一般'!N7+'B一般'!N7</f>
        <v>70764</v>
      </c>
      <c r="O7" s="51">
        <f>'P一般'!O7+'B一般'!O7</f>
        <v>63953</v>
      </c>
      <c r="P7" s="60">
        <f>'P一般'!P7+'B一般'!P7</f>
        <v>84011</v>
      </c>
      <c r="Q7" s="68">
        <f>SUM(K7:P7)</f>
        <v>656443</v>
      </c>
      <c r="R7" s="64">
        <f>J7+Q7</f>
        <v>1256940</v>
      </c>
      <c r="S7" s="16"/>
    </row>
    <row r="8" spans="1:19" s="17" customFormat="1" ht="16.5" customHeight="1">
      <c r="A8" s="102"/>
      <c r="B8" s="30" t="s">
        <v>10</v>
      </c>
      <c r="C8" s="31" t="s">
        <v>2</v>
      </c>
      <c r="D8" s="56">
        <f>'P一般'!D8+'B一般'!D8</f>
        <v>8806992</v>
      </c>
      <c r="E8" s="51">
        <f>'P一般'!E8+'B一般'!E8</f>
        <v>2883008</v>
      </c>
      <c r="F8" s="51">
        <f>'P一般'!F8+'B一般'!F8</f>
        <v>2806677</v>
      </c>
      <c r="G8" s="51">
        <f>'P一般'!G8+'B一般'!G8</f>
        <v>3065623</v>
      </c>
      <c r="H8" s="51">
        <f>'P一般'!H8+'B一般'!H8</f>
        <v>4590889</v>
      </c>
      <c r="I8" s="60">
        <f>'P一般'!I8+'B一般'!I8</f>
        <v>6080221</v>
      </c>
      <c r="J8" s="68">
        <f>SUM(D8:I8)</f>
        <v>28233410</v>
      </c>
      <c r="K8" s="64">
        <f>'P一般'!K8+'B一般'!K8</f>
        <v>5246247</v>
      </c>
      <c r="L8" s="51">
        <f>'P一般'!L8+'B一般'!L8</f>
        <v>10769805</v>
      </c>
      <c r="M8" s="51">
        <f>'P一般'!M8+'B一般'!M8</f>
        <v>8700824</v>
      </c>
      <c r="N8" s="51">
        <f>'P一般'!N8+'B一般'!N8</f>
        <v>4700759</v>
      </c>
      <c r="O8" s="51">
        <f>'P一般'!O8+'B一般'!O8</f>
        <v>4260448</v>
      </c>
      <c r="P8" s="60">
        <f>'P一般'!P8+'B一般'!P8</f>
        <v>5581537</v>
      </c>
      <c r="Q8" s="68">
        <f>SUM(K8:P8)</f>
        <v>39259620</v>
      </c>
      <c r="R8" s="64">
        <f>J8+Q8</f>
        <v>67493030</v>
      </c>
      <c r="S8" s="16"/>
    </row>
    <row r="9" spans="1:19" s="17" customFormat="1" ht="16.5" customHeight="1" thickBot="1">
      <c r="A9" s="103"/>
      <c r="B9" s="18" t="s">
        <v>42</v>
      </c>
      <c r="C9" s="32" t="s">
        <v>3</v>
      </c>
      <c r="D9" s="57">
        <f aca="true" t="shared" si="1" ref="D9:R9">IF(D7=0,"",(D8/D7)*1000)</f>
        <v>48750.87598877405</v>
      </c>
      <c r="E9" s="52">
        <f t="shared" si="1"/>
        <v>40799.977356995274</v>
      </c>
      <c r="F9" s="52">
        <f t="shared" si="1"/>
        <v>40216.61006748914</v>
      </c>
      <c r="G9" s="52">
        <f t="shared" si="1"/>
        <v>49284.95868300054</v>
      </c>
      <c r="H9" s="52">
        <f t="shared" si="1"/>
        <v>48433.22994471874</v>
      </c>
      <c r="I9" s="61">
        <f t="shared" si="1"/>
        <v>49673.79067506515</v>
      </c>
      <c r="J9" s="69">
        <f t="shared" si="1"/>
        <v>47016.737802187185</v>
      </c>
      <c r="K9" s="65">
        <f t="shared" si="1"/>
        <v>53835.82181448758</v>
      </c>
      <c r="L9" s="52">
        <f t="shared" si="1"/>
        <v>57466.23730730854</v>
      </c>
      <c r="M9" s="52">
        <f t="shared" si="1"/>
        <v>56922.07647770763</v>
      </c>
      <c r="N9" s="52">
        <f t="shared" si="1"/>
        <v>66428.67842405742</v>
      </c>
      <c r="O9" s="52">
        <f t="shared" si="1"/>
        <v>66618.42290432035</v>
      </c>
      <c r="P9" s="61">
        <f t="shared" si="1"/>
        <v>66438.16881122711</v>
      </c>
      <c r="Q9" s="69">
        <f t="shared" si="1"/>
        <v>59806.59402263411</v>
      </c>
      <c r="R9" s="65">
        <f t="shared" si="1"/>
        <v>53696.30213057107</v>
      </c>
      <c r="S9" s="16"/>
    </row>
    <row r="10" spans="1:19" s="17" customFormat="1" ht="16.5" customHeight="1">
      <c r="A10" s="101" t="s">
        <v>52</v>
      </c>
      <c r="B10" s="30" t="s">
        <v>9</v>
      </c>
      <c r="C10" s="31" t="s">
        <v>1</v>
      </c>
      <c r="D10" s="56">
        <f>'P一般'!D10+'B一般'!D10</f>
        <v>61525</v>
      </c>
      <c r="E10" s="51">
        <f>'P一般'!E10+'B一般'!E10</f>
        <v>0</v>
      </c>
      <c r="F10" s="51">
        <f>'P一般'!F10+'B一般'!F10</f>
        <v>61696</v>
      </c>
      <c r="G10" s="51">
        <f>'P一般'!G10+'B一般'!G10</f>
        <v>0</v>
      </c>
      <c r="H10" s="51">
        <f>'P一般'!H10+'B一般'!H10</f>
        <v>42392</v>
      </c>
      <c r="I10" s="60">
        <f>'P一般'!I10+'B一般'!I10</f>
        <v>0</v>
      </c>
      <c r="J10" s="68">
        <f>SUM(D10:I10)</f>
        <v>165613</v>
      </c>
      <c r="K10" s="64">
        <f>'P一般'!K10+'B一般'!K10</f>
        <v>36286</v>
      </c>
      <c r="L10" s="51">
        <f>'P一般'!L10+'B一般'!L10</f>
        <v>24616</v>
      </c>
      <c r="M10" s="51">
        <f>'P一般'!M10+'B一般'!M10</f>
        <v>87750</v>
      </c>
      <c r="N10" s="51">
        <f>'P一般'!N10+'B一般'!N10</f>
        <v>75199</v>
      </c>
      <c r="O10" s="51">
        <f>'P一般'!O10+'B一般'!O10</f>
        <v>51282</v>
      </c>
      <c r="P10" s="60">
        <f>'P一般'!P10+'B一般'!P10</f>
        <v>85019</v>
      </c>
      <c r="Q10" s="68">
        <f>SUM(K10:P10)</f>
        <v>360152</v>
      </c>
      <c r="R10" s="64">
        <f>J10+Q10</f>
        <v>525765</v>
      </c>
      <c r="S10" s="16"/>
    </row>
    <row r="11" spans="1:19" s="17" customFormat="1" ht="16.5" customHeight="1">
      <c r="A11" s="102"/>
      <c r="B11" s="30" t="s">
        <v>10</v>
      </c>
      <c r="C11" s="31" t="s">
        <v>2</v>
      </c>
      <c r="D11" s="58">
        <f>'P一般'!D11+'B一般'!D11</f>
        <v>3233222</v>
      </c>
      <c r="E11" s="53">
        <f>'P一般'!E11+'B一般'!E11</f>
        <v>0</v>
      </c>
      <c r="F11" s="53">
        <f>'P一般'!F11+'B一般'!F11</f>
        <v>2504798</v>
      </c>
      <c r="G11" s="53">
        <f>'P一般'!G11+'B一般'!G11</f>
        <v>0</v>
      </c>
      <c r="H11" s="53">
        <f>'P一般'!H11+'B一般'!H11</f>
        <v>1948177</v>
      </c>
      <c r="I11" s="62">
        <f>'P一般'!I11+'B一般'!I11</f>
        <v>0</v>
      </c>
      <c r="J11" s="70">
        <f>SUM(D11:I11)</f>
        <v>7686197</v>
      </c>
      <c r="K11" s="66">
        <f>'P一般'!K11+'B一般'!K11</f>
        <v>2230832</v>
      </c>
      <c r="L11" s="53">
        <f>'P一般'!L11+'B一般'!L11</f>
        <v>1505986</v>
      </c>
      <c r="M11" s="53">
        <f>'P一般'!M11+'B一般'!M11</f>
        <v>5641860</v>
      </c>
      <c r="N11" s="53">
        <f>'P一般'!N11+'B一般'!N11</f>
        <v>4977917</v>
      </c>
      <c r="O11" s="53">
        <f>'P一般'!O11+'B一般'!O11</f>
        <v>3201059</v>
      </c>
      <c r="P11" s="62">
        <f>'P一般'!P11+'B一般'!P11</f>
        <v>5871739</v>
      </c>
      <c r="Q11" s="70">
        <f>SUM(K11:P11)</f>
        <v>23429393</v>
      </c>
      <c r="R11" s="66">
        <f>J11+Q11</f>
        <v>31115590</v>
      </c>
      <c r="S11" s="16"/>
    </row>
    <row r="12" spans="1:19" s="17" customFormat="1" ht="16.5" customHeight="1" thickBot="1">
      <c r="A12" s="103"/>
      <c r="B12" s="18" t="s">
        <v>42</v>
      </c>
      <c r="C12" s="32" t="s">
        <v>3</v>
      </c>
      <c r="D12" s="57">
        <f aca="true" t="shared" si="2" ref="D12:R12">IF(D10=0,"",(D11/D10)*1000)</f>
        <v>52551.35310849248</v>
      </c>
      <c r="E12" s="52">
        <f t="shared" si="2"/>
      </c>
      <c r="F12" s="52">
        <f t="shared" si="2"/>
        <v>40599.03397302904</v>
      </c>
      <c r="G12" s="52">
        <f t="shared" si="2"/>
      </c>
      <c r="H12" s="52">
        <f t="shared" si="2"/>
        <v>45956.24174372523</v>
      </c>
      <c r="I12" s="61">
        <f t="shared" si="2"/>
      </c>
      <c r="J12" s="69">
        <f t="shared" si="2"/>
        <v>46410.58974838932</v>
      </c>
      <c r="K12" s="65">
        <f t="shared" si="2"/>
        <v>61479.13795954363</v>
      </c>
      <c r="L12" s="52">
        <f t="shared" si="2"/>
        <v>61179.15177120572</v>
      </c>
      <c r="M12" s="52">
        <f t="shared" si="2"/>
        <v>64294.70085470085</v>
      </c>
      <c r="N12" s="52">
        <f t="shared" si="2"/>
        <v>66196.58506097156</v>
      </c>
      <c r="O12" s="52">
        <f t="shared" si="2"/>
        <v>62420.712920712926</v>
      </c>
      <c r="P12" s="61">
        <f t="shared" si="2"/>
        <v>69063.84455239418</v>
      </c>
      <c r="Q12" s="69">
        <f t="shared" si="2"/>
        <v>65054.179901819225</v>
      </c>
      <c r="R12" s="65">
        <f t="shared" si="2"/>
        <v>59181.55449678088</v>
      </c>
      <c r="S12" s="16"/>
    </row>
    <row r="13" spans="1:19" s="17" customFormat="1" ht="16.5" customHeight="1">
      <c r="A13" s="101" t="s">
        <v>94</v>
      </c>
      <c r="B13" s="30" t="s">
        <v>9</v>
      </c>
      <c r="C13" s="31" t="s">
        <v>1</v>
      </c>
      <c r="D13" s="56">
        <f>'P一般'!D13+'B一般'!D13</f>
        <v>11428</v>
      </c>
      <c r="E13" s="51">
        <f>'P一般'!E13+'B一般'!E13</f>
        <v>0</v>
      </c>
      <c r="F13" s="51">
        <f>'P一般'!F13+'B一般'!F13</f>
        <v>0</v>
      </c>
      <c r="G13" s="51">
        <f>'P一般'!G13+'B一般'!G13</f>
        <v>0</v>
      </c>
      <c r="H13" s="51">
        <f>'P一般'!H13+'B一般'!H13</f>
        <v>0</v>
      </c>
      <c r="I13" s="60">
        <f>'P一般'!I13+'B一般'!I13</f>
        <v>0</v>
      </c>
      <c r="J13" s="68">
        <f>SUM(D13:I13)</f>
        <v>11428</v>
      </c>
      <c r="K13" s="64">
        <f>'P一般'!K13+'B一般'!K13</f>
        <v>0</v>
      </c>
      <c r="L13" s="51">
        <f>'P一般'!L13+'B一般'!L13</f>
        <v>29803</v>
      </c>
      <c r="M13" s="51">
        <f>'P一般'!M13+'B一般'!M13</f>
        <v>6512</v>
      </c>
      <c r="N13" s="51">
        <f>'P一般'!N13+'B一般'!N13</f>
        <v>23628</v>
      </c>
      <c r="O13" s="51">
        <f>'P一般'!O13+'B一般'!O13</f>
        <v>0</v>
      </c>
      <c r="P13" s="60">
        <f>'P一般'!P13+'B一般'!P13</f>
        <v>0</v>
      </c>
      <c r="Q13" s="68">
        <f>SUM(K13:P13)</f>
        <v>59943</v>
      </c>
      <c r="R13" s="64">
        <f>J13+Q13</f>
        <v>71371</v>
      </c>
      <c r="S13" s="16"/>
    </row>
    <row r="14" spans="1:19" s="17" customFormat="1" ht="16.5" customHeight="1">
      <c r="A14" s="102"/>
      <c r="B14" s="30" t="s">
        <v>10</v>
      </c>
      <c r="C14" s="31" t="s">
        <v>2</v>
      </c>
      <c r="D14" s="58">
        <f>'P一般'!D14+'B一般'!D14</f>
        <v>523288</v>
      </c>
      <c r="E14" s="53">
        <f>'P一般'!E14+'B一般'!E14</f>
        <v>0</v>
      </c>
      <c r="F14" s="53">
        <f>'P一般'!F14+'B一般'!F14</f>
        <v>0</v>
      </c>
      <c r="G14" s="53">
        <f>'P一般'!G14+'B一般'!G14</f>
        <v>0</v>
      </c>
      <c r="H14" s="53">
        <f>'P一般'!H14+'B一般'!H14</f>
        <v>0</v>
      </c>
      <c r="I14" s="62">
        <f>'P一般'!I14+'B一般'!I14</f>
        <v>0</v>
      </c>
      <c r="J14" s="70">
        <f>SUM(D14:I14)</f>
        <v>523288</v>
      </c>
      <c r="K14" s="66">
        <f>'P一般'!K14+'B一般'!K14</f>
        <v>0</v>
      </c>
      <c r="L14" s="53">
        <f>'P一般'!L14+'B一般'!L14</f>
        <v>1865308</v>
      </c>
      <c r="M14" s="53">
        <f>'P一般'!M14+'B一般'!M14</f>
        <v>410687</v>
      </c>
      <c r="N14" s="53">
        <f>'P一般'!N14+'B一般'!N14</f>
        <v>1624444</v>
      </c>
      <c r="O14" s="53">
        <f>'P一般'!O14+'B一般'!O14</f>
        <v>0</v>
      </c>
      <c r="P14" s="62">
        <f>'P一般'!P14+'B一般'!P14</f>
        <v>0</v>
      </c>
      <c r="Q14" s="70">
        <f>SUM(K14:P14)</f>
        <v>3900439</v>
      </c>
      <c r="R14" s="66">
        <f>J14+Q14</f>
        <v>4423727</v>
      </c>
      <c r="S14" s="16"/>
    </row>
    <row r="15" spans="1:19" s="17" customFormat="1" ht="16.5" customHeight="1" thickBot="1">
      <c r="A15" s="103"/>
      <c r="B15" s="18" t="s">
        <v>42</v>
      </c>
      <c r="C15" s="32" t="s">
        <v>3</v>
      </c>
      <c r="D15" s="57">
        <f aca="true" t="shared" si="3" ref="D15:R15">IF(D13=0,"",(D14/D13)*1000)</f>
        <v>45789.98949947498</v>
      </c>
      <c r="E15" s="52">
        <f t="shared" si="3"/>
      </c>
      <c r="F15" s="52">
        <f t="shared" si="3"/>
      </c>
      <c r="G15" s="52">
        <f t="shared" si="3"/>
      </c>
      <c r="H15" s="52">
        <f t="shared" si="3"/>
      </c>
      <c r="I15" s="61">
        <f t="shared" si="3"/>
      </c>
      <c r="J15" s="69">
        <f t="shared" si="3"/>
        <v>45789.98949947498</v>
      </c>
      <c r="K15" s="65">
        <f t="shared" si="3"/>
      </c>
      <c r="L15" s="52">
        <f t="shared" si="3"/>
        <v>62587.92738986009</v>
      </c>
      <c r="M15" s="52">
        <f t="shared" si="3"/>
        <v>63066.185503685505</v>
      </c>
      <c r="N15" s="52">
        <f t="shared" si="3"/>
        <v>68750.8041306924</v>
      </c>
      <c r="O15" s="52">
        <f t="shared" si="3"/>
      </c>
      <c r="P15" s="61">
        <f t="shared" si="3"/>
      </c>
      <c r="Q15" s="69">
        <f t="shared" si="3"/>
        <v>65069.13234239194</v>
      </c>
      <c r="R15" s="65">
        <f t="shared" si="3"/>
        <v>61982.13560129464</v>
      </c>
      <c r="S15" s="16"/>
    </row>
    <row r="16" spans="1:19" s="17" customFormat="1" ht="16.5" customHeight="1">
      <c r="A16" s="101" t="s">
        <v>96</v>
      </c>
      <c r="B16" s="30" t="s">
        <v>9</v>
      </c>
      <c r="C16" s="31" t="s">
        <v>1</v>
      </c>
      <c r="D16" s="56">
        <f>'P一般'!D16+'B一般'!D16</f>
        <v>177126</v>
      </c>
      <c r="E16" s="51">
        <f>'P一般'!E16+'B一般'!E16</f>
        <v>65506</v>
      </c>
      <c r="F16" s="51">
        <f>'P一般'!F16+'B一般'!F16</f>
        <v>235960</v>
      </c>
      <c r="G16" s="51">
        <f>'P一般'!G16+'B一般'!G16</f>
        <v>201330</v>
      </c>
      <c r="H16" s="51">
        <f>'P一般'!H16+'B一般'!H16</f>
        <v>142776</v>
      </c>
      <c r="I16" s="60">
        <f>'P一般'!I16+'B一般'!I16</f>
        <v>185847</v>
      </c>
      <c r="J16" s="68">
        <f>SUM(D16:I16)</f>
        <v>1008545</v>
      </c>
      <c r="K16" s="64">
        <f>'P一般'!K16+'B一般'!K16</f>
        <v>194728</v>
      </c>
      <c r="L16" s="51">
        <f>'P一般'!L16+'B一般'!L16</f>
        <v>332109</v>
      </c>
      <c r="M16" s="51">
        <f>'P一般'!M16+'B一般'!M16</f>
        <v>164321</v>
      </c>
      <c r="N16" s="51">
        <f>'P一般'!N16+'B一般'!N16</f>
        <v>223705</v>
      </c>
      <c r="O16" s="51">
        <f>'P一般'!O16+'B一般'!O16</f>
        <v>206275</v>
      </c>
      <c r="P16" s="60">
        <f>'P一般'!P16+'B一般'!P16</f>
        <v>401675</v>
      </c>
      <c r="Q16" s="68">
        <f>SUM(K16:P16)</f>
        <v>1522813</v>
      </c>
      <c r="R16" s="64">
        <f>J16+Q16</f>
        <v>2531358</v>
      </c>
      <c r="S16" s="16"/>
    </row>
    <row r="17" spans="1:19" s="17" customFormat="1" ht="16.5" customHeight="1">
      <c r="A17" s="102"/>
      <c r="B17" s="30" t="s">
        <v>10</v>
      </c>
      <c r="C17" s="31" t="s">
        <v>2</v>
      </c>
      <c r="D17" s="56">
        <f>'P一般'!D17+'B一般'!D17</f>
        <v>8070506</v>
      </c>
      <c r="E17" s="51">
        <f>'P一般'!E17+'B一般'!E17</f>
        <v>2733669</v>
      </c>
      <c r="F17" s="51">
        <f>'P一般'!F17+'B一般'!F17</f>
        <v>9657710</v>
      </c>
      <c r="G17" s="51">
        <f>'P一般'!G17+'B一般'!G17</f>
        <v>9365722</v>
      </c>
      <c r="H17" s="51">
        <f>'P一般'!H17+'B一般'!H17</f>
        <v>7450260</v>
      </c>
      <c r="I17" s="60">
        <f>'P一般'!I17+'B一般'!I17</f>
        <v>9895017</v>
      </c>
      <c r="J17" s="68">
        <f>SUM(D17:I17)</f>
        <v>47172884</v>
      </c>
      <c r="K17" s="64">
        <f>'P一般'!K17+'B一般'!K17</f>
        <v>10313240</v>
      </c>
      <c r="L17" s="51">
        <f>'P一般'!L17+'B一般'!L17</f>
        <v>19749848</v>
      </c>
      <c r="M17" s="51">
        <f>'P一般'!M17+'B一般'!M17</f>
        <v>9388754</v>
      </c>
      <c r="N17" s="51">
        <f>'P一般'!N17+'B一般'!N17</f>
        <v>14851630</v>
      </c>
      <c r="O17" s="51">
        <f>'P一般'!O17+'B一般'!O17</f>
        <v>13722918</v>
      </c>
      <c r="P17" s="60">
        <f>'P一般'!P17+'B一般'!P17</f>
        <v>26425384</v>
      </c>
      <c r="Q17" s="68">
        <f>SUM(K17:P17)</f>
        <v>94451774</v>
      </c>
      <c r="R17" s="64">
        <f>J17+Q17</f>
        <v>141624658</v>
      </c>
      <c r="S17" s="16"/>
    </row>
    <row r="18" spans="1:19" s="17" customFormat="1" ht="16.5" customHeight="1" thickBot="1">
      <c r="A18" s="103"/>
      <c r="B18" s="18" t="s">
        <v>42</v>
      </c>
      <c r="C18" s="32" t="s">
        <v>3</v>
      </c>
      <c r="D18" s="57">
        <f aca="true" t="shared" si="4" ref="D18:R18">IF(D16=0,"",(D17/D16)*1000)</f>
        <v>45563.64395966713</v>
      </c>
      <c r="E18" s="52">
        <f t="shared" si="4"/>
        <v>41731.581839831466</v>
      </c>
      <c r="F18" s="52">
        <f t="shared" si="4"/>
        <v>40929.43719274453</v>
      </c>
      <c r="G18" s="52">
        <f t="shared" si="4"/>
        <v>46519.25694134009</v>
      </c>
      <c r="H18" s="52">
        <f t="shared" si="4"/>
        <v>52181.45906875105</v>
      </c>
      <c r="I18" s="61">
        <f t="shared" si="4"/>
        <v>53242.812636200746</v>
      </c>
      <c r="J18" s="69">
        <f t="shared" si="4"/>
        <v>46773.20694664095</v>
      </c>
      <c r="K18" s="65">
        <f t="shared" si="4"/>
        <v>52962.285855141534</v>
      </c>
      <c r="L18" s="52">
        <f t="shared" si="4"/>
        <v>59467.96985327107</v>
      </c>
      <c r="M18" s="52">
        <f t="shared" si="4"/>
        <v>57136.66542925128</v>
      </c>
      <c r="N18" s="52">
        <f t="shared" si="4"/>
        <v>66389.35204845667</v>
      </c>
      <c r="O18" s="52">
        <f t="shared" si="4"/>
        <v>66527.29608532299</v>
      </c>
      <c r="P18" s="61">
        <f t="shared" si="4"/>
        <v>65787.97286363353</v>
      </c>
      <c r="Q18" s="69">
        <f t="shared" si="4"/>
        <v>62024.538797606794</v>
      </c>
      <c r="R18" s="65">
        <f t="shared" si="4"/>
        <v>55948.0950541172</v>
      </c>
      <c r="S18" s="16"/>
    </row>
    <row r="19" spans="1:19" s="17" customFormat="1" ht="16.5" customHeight="1">
      <c r="A19" s="110" t="s">
        <v>45</v>
      </c>
      <c r="B19" s="30" t="s">
        <v>9</v>
      </c>
      <c r="C19" s="31" t="s">
        <v>1</v>
      </c>
      <c r="D19" s="56">
        <f>'P一般'!D19+'B一般'!D19</f>
        <v>117385</v>
      </c>
      <c r="E19" s="51">
        <f>'P一般'!E19+'B一般'!E19</f>
        <v>114063</v>
      </c>
      <c r="F19" s="51">
        <f>'P一般'!F19+'B一般'!F19</f>
        <v>212932</v>
      </c>
      <c r="G19" s="51">
        <f>'P一般'!G19+'B一般'!G19</f>
        <v>224877</v>
      </c>
      <c r="H19" s="51">
        <f>'P一般'!H19+'B一般'!H19</f>
        <v>213189</v>
      </c>
      <c r="I19" s="60">
        <f>'P一般'!I19+'B一般'!I19</f>
        <v>173220</v>
      </c>
      <c r="J19" s="68">
        <f>SUM(D19:I19)</f>
        <v>1055666</v>
      </c>
      <c r="K19" s="64">
        <f>'P一般'!K19+'B一般'!K19</f>
        <v>190029</v>
      </c>
      <c r="L19" s="51">
        <f>'P一般'!L19+'B一般'!L19</f>
        <v>194327</v>
      </c>
      <c r="M19" s="51">
        <f>'P一般'!M19+'B一般'!M19</f>
        <v>203859</v>
      </c>
      <c r="N19" s="51">
        <f>'P一般'!N19+'B一般'!N19</f>
        <v>232329</v>
      </c>
      <c r="O19" s="51">
        <f>'P一般'!O19+'B一般'!O19</f>
        <v>83650</v>
      </c>
      <c r="P19" s="60">
        <f>'P一般'!P19+'B一般'!P19</f>
        <v>224766</v>
      </c>
      <c r="Q19" s="68">
        <f>SUM(K19:P19)</f>
        <v>1128960</v>
      </c>
      <c r="R19" s="64">
        <f>J19+Q19</f>
        <v>2184626</v>
      </c>
      <c r="S19" s="16"/>
    </row>
    <row r="20" spans="1:19" s="17" customFormat="1" ht="16.5" customHeight="1">
      <c r="A20" s="111"/>
      <c r="B20" s="30" t="s">
        <v>10</v>
      </c>
      <c r="C20" s="31" t="s">
        <v>2</v>
      </c>
      <c r="D20" s="56">
        <f>'P一般'!D20+'B一般'!D20</f>
        <v>5510745</v>
      </c>
      <c r="E20" s="51">
        <f>'P一般'!E20+'B一般'!E20</f>
        <v>4787558</v>
      </c>
      <c r="F20" s="51">
        <f>'P一般'!F20+'B一般'!F20</f>
        <v>8838519</v>
      </c>
      <c r="G20" s="51">
        <f>'P一般'!G20+'B一般'!G20</f>
        <v>9735369</v>
      </c>
      <c r="H20" s="51">
        <f>'P一般'!H20+'B一般'!H20</f>
        <v>10096393</v>
      </c>
      <c r="I20" s="60">
        <f>'P一般'!I20+'B一般'!I20</f>
        <v>8422747</v>
      </c>
      <c r="J20" s="68">
        <f>SUM(D20:I20)</f>
        <v>47391331</v>
      </c>
      <c r="K20" s="64">
        <f>'P一般'!K20+'B一般'!K20</f>
        <v>9771256</v>
      </c>
      <c r="L20" s="51">
        <f>'P一般'!L20+'B一般'!L20</f>
        <v>10323013</v>
      </c>
      <c r="M20" s="51">
        <f>'P一般'!M20+'B一般'!M20</f>
        <v>11805040</v>
      </c>
      <c r="N20" s="51">
        <f>'P一般'!N20+'B一般'!N20</f>
        <v>13963160</v>
      </c>
      <c r="O20" s="51">
        <f>'P一般'!O20+'B一般'!O20</f>
        <v>5519108</v>
      </c>
      <c r="P20" s="60">
        <f>'P一般'!P20+'B一般'!P20</f>
        <v>15197786</v>
      </c>
      <c r="Q20" s="68">
        <f>SUM(K20:P20)</f>
        <v>66579363</v>
      </c>
      <c r="R20" s="64">
        <f>J20+Q20</f>
        <v>113970694</v>
      </c>
      <c r="S20" s="16"/>
    </row>
    <row r="21" spans="1:19" s="17" customFormat="1" ht="16.5" customHeight="1" thickBot="1">
      <c r="A21" s="112"/>
      <c r="B21" s="18" t="s">
        <v>42</v>
      </c>
      <c r="C21" s="32" t="s">
        <v>3</v>
      </c>
      <c r="D21" s="57">
        <f aca="true" t="shared" si="5" ref="D21:R21">IF(D19=0,"",(D20/D19)*1000)</f>
        <v>46945.90450227883</v>
      </c>
      <c r="E21" s="52">
        <f t="shared" si="5"/>
        <v>41972.927241962774</v>
      </c>
      <c r="F21" s="52">
        <f t="shared" si="5"/>
        <v>41508.64595269851</v>
      </c>
      <c r="G21" s="52">
        <f t="shared" si="5"/>
        <v>43291.97294521005</v>
      </c>
      <c r="H21" s="52">
        <f t="shared" si="5"/>
        <v>47358.88343207201</v>
      </c>
      <c r="I21" s="61">
        <f t="shared" si="5"/>
        <v>48624.56413809029</v>
      </c>
      <c r="J21" s="69">
        <f t="shared" si="5"/>
        <v>44892.353263248035</v>
      </c>
      <c r="K21" s="65">
        <f t="shared" si="5"/>
        <v>51419.814870361886</v>
      </c>
      <c r="L21" s="52">
        <f t="shared" si="5"/>
        <v>53121.86675037436</v>
      </c>
      <c r="M21" s="52">
        <f t="shared" si="5"/>
        <v>57907.867692866144</v>
      </c>
      <c r="N21" s="52">
        <f t="shared" si="5"/>
        <v>60100.805323485234</v>
      </c>
      <c r="O21" s="52">
        <f t="shared" si="5"/>
        <v>65978.57740585774</v>
      </c>
      <c r="P21" s="61">
        <f t="shared" si="5"/>
        <v>67616.03623323812</v>
      </c>
      <c r="Q21" s="69">
        <f t="shared" si="5"/>
        <v>58974.06728316326</v>
      </c>
      <c r="R21" s="65">
        <f t="shared" si="5"/>
        <v>52169.43037389466</v>
      </c>
      <c r="S21" s="16"/>
    </row>
    <row r="22" spans="1:19" s="17" customFormat="1" ht="16.5" customHeight="1">
      <c r="A22" s="101" t="s">
        <v>53</v>
      </c>
      <c r="B22" s="30" t="s">
        <v>9</v>
      </c>
      <c r="C22" s="31" t="s">
        <v>1</v>
      </c>
      <c r="D22" s="56">
        <f>'P一般'!D22+'B一般'!D22</f>
        <v>76487</v>
      </c>
      <c r="E22" s="51">
        <f>'P一般'!E22+'B一般'!E22</f>
        <v>76216</v>
      </c>
      <c r="F22" s="51">
        <f>'P一般'!F22+'B一般'!F22</f>
        <v>40813</v>
      </c>
      <c r="G22" s="51">
        <f>'P一般'!G22+'B一般'!G22</f>
        <v>85325</v>
      </c>
      <c r="H22" s="51">
        <f>'P一般'!H22+'B一般'!H22</f>
        <v>103644</v>
      </c>
      <c r="I22" s="60">
        <f>'P一般'!I22+'B一般'!I22</f>
        <v>65853</v>
      </c>
      <c r="J22" s="68">
        <f>SUM(D22:I22)</f>
        <v>448338</v>
      </c>
      <c r="K22" s="64">
        <f>'P一般'!K22+'B一般'!K22</f>
        <v>103352</v>
      </c>
      <c r="L22" s="51">
        <f>'P一般'!L22+'B一般'!L22</f>
        <v>50907</v>
      </c>
      <c r="M22" s="51">
        <f>'P一般'!M22+'B一般'!M22</f>
        <v>107831</v>
      </c>
      <c r="N22" s="51">
        <f>'P一般'!N22+'B一般'!N22</f>
        <v>99372</v>
      </c>
      <c r="O22" s="51">
        <f>'P一般'!O22+'B一般'!O22</f>
        <v>67598</v>
      </c>
      <c r="P22" s="60">
        <f>'P一般'!P22+'B一般'!P22</f>
        <v>126143</v>
      </c>
      <c r="Q22" s="68">
        <f>SUM(K22:P22)</f>
        <v>555203</v>
      </c>
      <c r="R22" s="64">
        <f>J22+Q22</f>
        <v>1003541</v>
      </c>
      <c r="S22" s="16"/>
    </row>
    <row r="23" spans="1:19" s="17" customFormat="1" ht="16.5" customHeight="1">
      <c r="A23" s="102"/>
      <c r="B23" s="30" t="s">
        <v>10</v>
      </c>
      <c r="C23" s="31" t="s">
        <v>2</v>
      </c>
      <c r="D23" s="56">
        <f>'P一般'!D23+'B一般'!D23</f>
        <v>3676741</v>
      </c>
      <c r="E23" s="51">
        <f>'P一般'!E23+'B一般'!E23</f>
        <v>3470917</v>
      </c>
      <c r="F23" s="51">
        <f>'P一般'!F23+'B一般'!F23</f>
        <v>1635292</v>
      </c>
      <c r="G23" s="51">
        <f>'P一般'!G23+'B一般'!G23</f>
        <v>3931597</v>
      </c>
      <c r="H23" s="51">
        <f>'P一般'!H23+'B一般'!H23</f>
        <v>5588042</v>
      </c>
      <c r="I23" s="60">
        <f>'P一般'!I23+'B一般'!I23</f>
        <v>3468164</v>
      </c>
      <c r="J23" s="68">
        <f>SUM(D23:I23)</f>
        <v>21770753</v>
      </c>
      <c r="K23" s="64">
        <f>'P一般'!K23+'B一般'!K23</f>
        <v>5514166</v>
      </c>
      <c r="L23" s="51">
        <f>'P一般'!L23+'B一般'!L23</f>
        <v>2883397</v>
      </c>
      <c r="M23" s="51">
        <f>'P一般'!M23+'B一般'!M23</f>
        <v>6623119</v>
      </c>
      <c r="N23" s="51">
        <f>'P一般'!N23+'B一般'!N23</f>
        <v>6678873</v>
      </c>
      <c r="O23" s="51">
        <f>'P一般'!O23+'B一般'!O23</f>
        <v>4679349</v>
      </c>
      <c r="P23" s="60">
        <f>'P一般'!P23+'B一般'!P23</f>
        <v>8633977</v>
      </c>
      <c r="Q23" s="68">
        <f>SUM(K23:P23)</f>
        <v>35012881</v>
      </c>
      <c r="R23" s="64">
        <f>J23+Q23</f>
        <v>56783634</v>
      </c>
      <c r="S23" s="16"/>
    </row>
    <row r="24" spans="1:19" s="17" customFormat="1" ht="16.5" customHeight="1" thickBot="1">
      <c r="A24" s="103"/>
      <c r="B24" s="18" t="s">
        <v>42</v>
      </c>
      <c r="C24" s="32" t="s">
        <v>3</v>
      </c>
      <c r="D24" s="57">
        <f aca="true" t="shared" si="6" ref="D24:R24">IF(D22=0,"",(D23/D22)*1000)</f>
        <v>48070.14263861833</v>
      </c>
      <c r="E24" s="52">
        <f t="shared" si="6"/>
        <v>45540.52954760155</v>
      </c>
      <c r="F24" s="52">
        <f t="shared" si="6"/>
        <v>40067.91953544214</v>
      </c>
      <c r="G24" s="52">
        <f t="shared" si="6"/>
        <v>46077.90213888075</v>
      </c>
      <c r="H24" s="52">
        <f t="shared" si="6"/>
        <v>53915.73077071514</v>
      </c>
      <c r="I24" s="61">
        <f t="shared" si="6"/>
        <v>52665.239244985045</v>
      </c>
      <c r="J24" s="69">
        <f t="shared" si="6"/>
        <v>48558.79492704165</v>
      </c>
      <c r="K24" s="65">
        <f t="shared" si="6"/>
        <v>53353.25876615837</v>
      </c>
      <c r="L24" s="52">
        <f t="shared" si="6"/>
        <v>56640.481662639715</v>
      </c>
      <c r="M24" s="52">
        <f t="shared" si="6"/>
        <v>61421.288868692674</v>
      </c>
      <c r="N24" s="52">
        <f t="shared" si="6"/>
        <v>67210.81391136337</v>
      </c>
      <c r="O24" s="52">
        <f t="shared" si="6"/>
        <v>69223.18707654072</v>
      </c>
      <c r="P24" s="61">
        <f t="shared" si="6"/>
        <v>68445.94626733153</v>
      </c>
      <c r="Q24" s="69">
        <f t="shared" si="6"/>
        <v>63063.205710343784</v>
      </c>
      <c r="R24" s="65">
        <f t="shared" si="6"/>
        <v>56583.272631611464</v>
      </c>
      <c r="S24" s="16"/>
    </row>
    <row r="25" spans="1:19" s="17" customFormat="1" ht="16.5" customHeight="1">
      <c r="A25" s="101" t="s">
        <v>54</v>
      </c>
      <c r="B25" s="30" t="s">
        <v>9</v>
      </c>
      <c r="C25" s="31" t="s">
        <v>1</v>
      </c>
      <c r="D25" s="56">
        <f>'P一般'!D25+'B一般'!D25</f>
        <v>677</v>
      </c>
      <c r="E25" s="51">
        <f>'P一般'!E25+'B一般'!E25</f>
        <v>0</v>
      </c>
      <c r="F25" s="51">
        <f>'P一般'!F25+'B一般'!F25</f>
        <v>0</v>
      </c>
      <c r="G25" s="51">
        <f>'P一般'!G25+'B一般'!G25</f>
        <v>0</v>
      </c>
      <c r="H25" s="51">
        <f>'P一般'!H25+'B一般'!H25</f>
        <v>0</v>
      </c>
      <c r="I25" s="60">
        <f>'P一般'!I25+'B一般'!I25</f>
        <v>0</v>
      </c>
      <c r="J25" s="68">
        <f>SUM(D25:I25)</f>
        <v>677</v>
      </c>
      <c r="K25" s="64">
        <f>'P一般'!K25+'B一般'!K25</f>
        <v>0</v>
      </c>
      <c r="L25" s="51">
        <f>'P一般'!L25+'B一般'!L25</f>
        <v>0</v>
      </c>
      <c r="M25" s="51">
        <f>'P一般'!M25+'B一般'!M25</f>
        <v>0</v>
      </c>
      <c r="N25" s="51">
        <f>'P一般'!N25+'B一般'!N25</f>
        <v>441</v>
      </c>
      <c r="O25" s="51">
        <f>'P一般'!O25+'B一般'!O25</f>
        <v>0</v>
      </c>
      <c r="P25" s="60">
        <f>'P一般'!P25+'B一般'!P25</f>
        <v>0</v>
      </c>
      <c r="Q25" s="68">
        <f>SUM(K25:P25)</f>
        <v>441</v>
      </c>
      <c r="R25" s="64">
        <f>J25+Q25</f>
        <v>1118</v>
      </c>
      <c r="S25" s="16"/>
    </row>
    <row r="26" spans="1:19" s="17" customFormat="1" ht="16.5" customHeight="1">
      <c r="A26" s="102"/>
      <c r="B26" s="30" t="s">
        <v>10</v>
      </c>
      <c r="C26" s="31" t="s">
        <v>2</v>
      </c>
      <c r="D26" s="56">
        <f>'P一般'!D26+'B一般'!D26</f>
        <v>36275</v>
      </c>
      <c r="E26" s="51">
        <f>'P一般'!E26+'B一般'!E26</f>
        <v>0</v>
      </c>
      <c r="F26" s="51">
        <f>'P一般'!F26+'B一般'!F26</f>
        <v>0</v>
      </c>
      <c r="G26" s="51">
        <f>'P一般'!G26+'B一般'!G26</f>
        <v>0</v>
      </c>
      <c r="H26" s="51">
        <f>'P一般'!H26+'B一般'!H26</f>
        <v>0</v>
      </c>
      <c r="I26" s="60">
        <f>'P一般'!I26+'B一般'!I26</f>
        <v>0</v>
      </c>
      <c r="J26" s="68">
        <f>SUM(D26:I26)</f>
        <v>36275</v>
      </c>
      <c r="K26" s="64">
        <f>'P一般'!K26+'B一般'!K26</f>
        <v>0</v>
      </c>
      <c r="L26" s="51">
        <f>'P一般'!L26+'B一般'!L26</f>
        <v>0</v>
      </c>
      <c r="M26" s="51">
        <f>'P一般'!M26+'B一般'!M26</f>
        <v>0</v>
      </c>
      <c r="N26" s="51">
        <f>'P一般'!N26+'B一般'!N26</f>
        <v>24912</v>
      </c>
      <c r="O26" s="51">
        <f>'P一般'!O26+'B一般'!O26</f>
        <v>0</v>
      </c>
      <c r="P26" s="60">
        <f>'P一般'!P26+'B一般'!P26</f>
        <v>0</v>
      </c>
      <c r="Q26" s="68">
        <f>SUM(K26:P26)</f>
        <v>24912</v>
      </c>
      <c r="R26" s="64">
        <f>J26+Q26</f>
        <v>61187</v>
      </c>
      <c r="S26" s="16"/>
    </row>
    <row r="27" spans="1:19" s="17" customFormat="1" ht="16.5" customHeight="1" thickBot="1">
      <c r="A27" s="103"/>
      <c r="B27" s="18" t="s">
        <v>42</v>
      </c>
      <c r="C27" s="32" t="s">
        <v>3</v>
      </c>
      <c r="D27" s="57">
        <f aca="true" t="shared" si="7" ref="D27:R27">IF(D25=0,"",(D26/D25)*1000)</f>
        <v>53581.979320531755</v>
      </c>
      <c r="E27" s="52">
        <f t="shared" si="7"/>
      </c>
      <c r="F27" s="52">
        <f t="shared" si="7"/>
      </c>
      <c r="G27" s="52">
        <f t="shared" si="7"/>
      </c>
      <c r="H27" s="52">
        <f t="shared" si="7"/>
      </c>
      <c r="I27" s="61">
        <f t="shared" si="7"/>
      </c>
      <c r="J27" s="69">
        <f t="shared" si="7"/>
        <v>53581.979320531755</v>
      </c>
      <c r="K27" s="65">
        <f t="shared" si="7"/>
      </c>
      <c r="L27" s="52">
        <f t="shared" si="7"/>
      </c>
      <c r="M27" s="52">
        <f t="shared" si="7"/>
      </c>
      <c r="N27" s="52">
        <f t="shared" si="7"/>
        <v>56489.79591836735</v>
      </c>
      <c r="O27" s="52">
        <f t="shared" si="7"/>
      </c>
      <c r="P27" s="61">
        <f t="shared" si="7"/>
      </c>
      <c r="Q27" s="69">
        <f t="shared" si="7"/>
        <v>56489.79591836735</v>
      </c>
      <c r="R27" s="65">
        <f t="shared" si="7"/>
        <v>54728.98032200358</v>
      </c>
      <c r="S27" s="16"/>
    </row>
    <row r="28" spans="1:19" s="17" customFormat="1" ht="16.5" customHeight="1">
      <c r="A28" s="101" t="s">
        <v>11</v>
      </c>
      <c r="B28" s="30" t="s">
        <v>9</v>
      </c>
      <c r="C28" s="31" t="s">
        <v>1</v>
      </c>
      <c r="D28" s="56">
        <f>'P一般'!D28+'B一般'!D28</f>
        <v>682</v>
      </c>
      <c r="E28" s="51">
        <f>'P一般'!E28+'B一般'!E28</f>
        <v>481</v>
      </c>
      <c r="F28" s="51">
        <f>'P一般'!F28+'B一般'!F28</f>
        <v>540</v>
      </c>
      <c r="G28" s="51">
        <f>'P一般'!G28+'B一般'!G28</f>
        <v>551</v>
      </c>
      <c r="H28" s="51">
        <f>'P一般'!H28+'B一般'!H28</f>
        <v>920</v>
      </c>
      <c r="I28" s="60">
        <f>'P一般'!I28+'B一般'!I28</f>
        <v>1044</v>
      </c>
      <c r="J28" s="68">
        <f>SUM(D28:I28)</f>
        <v>4218</v>
      </c>
      <c r="K28" s="64">
        <f>'P一般'!K28+'B一般'!K28</f>
        <v>1703</v>
      </c>
      <c r="L28" s="51">
        <f>'P一般'!L28+'B一般'!L28</f>
        <v>2157</v>
      </c>
      <c r="M28" s="51">
        <f>'P一般'!M28+'B一般'!M28</f>
        <v>2830</v>
      </c>
      <c r="N28" s="51">
        <f>'P一般'!N28+'B一般'!N28</f>
        <v>1115</v>
      </c>
      <c r="O28" s="51">
        <f>'P一般'!O28+'B一般'!O28</f>
        <v>708</v>
      </c>
      <c r="P28" s="60">
        <f>'P一般'!P28+'B一般'!P28</f>
        <v>711</v>
      </c>
      <c r="Q28" s="68">
        <f>SUM(K28:P28)</f>
        <v>9224</v>
      </c>
      <c r="R28" s="64">
        <f>J28+Q28</f>
        <v>13442</v>
      </c>
      <c r="S28" s="16"/>
    </row>
    <row r="29" spans="1:19" s="17" customFormat="1" ht="16.5" customHeight="1">
      <c r="A29" s="102"/>
      <c r="B29" s="30" t="s">
        <v>10</v>
      </c>
      <c r="C29" s="31" t="s">
        <v>2</v>
      </c>
      <c r="D29" s="56">
        <f>'P一般'!D29+'B一般'!D29</f>
        <v>174645</v>
      </c>
      <c r="E29" s="51">
        <f>'P一般'!E29+'B一般'!E29</f>
        <v>124223</v>
      </c>
      <c r="F29" s="51">
        <f>'P一般'!F29+'B一般'!F29</f>
        <v>140723</v>
      </c>
      <c r="G29" s="51">
        <f>'P一般'!G29+'B一般'!G29</f>
        <v>139695</v>
      </c>
      <c r="H29" s="51">
        <f>'P一般'!H29+'B一般'!H29</f>
        <v>229925</v>
      </c>
      <c r="I29" s="60">
        <f>'P一般'!I29+'B一般'!I29</f>
        <v>258581</v>
      </c>
      <c r="J29" s="68">
        <f>SUM(D29:I29)</f>
        <v>1067792</v>
      </c>
      <c r="K29" s="64">
        <f>'P一般'!K29+'B一般'!K29</f>
        <v>420506</v>
      </c>
      <c r="L29" s="51">
        <f>'P一般'!L29+'B一般'!L29</f>
        <v>530963</v>
      </c>
      <c r="M29" s="51">
        <f>'P一般'!M29+'B一般'!M29</f>
        <v>689418</v>
      </c>
      <c r="N29" s="51">
        <f>'P一般'!N29+'B一般'!N29</f>
        <v>268627</v>
      </c>
      <c r="O29" s="51">
        <f>'P一般'!O29+'B一般'!O29</f>
        <v>174598</v>
      </c>
      <c r="P29" s="60">
        <f>'P一般'!P29+'B一般'!P29</f>
        <v>171815</v>
      </c>
      <c r="Q29" s="68">
        <f>SUM(K29:P29)</f>
        <v>2255927</v>
      </c>
      <c r="R29" s="64">
        <f>J29+Q29</f>
        <v>3323719</v>
      </c>
      <c r="S29" s="16"/>
    </row>
    <row r="30" spans="1:19" s="17" customFormat="1" ht="16.5" customHeight="1" thickBot="1">
      <c r="A30" s="103"/>
      <c r="B30" s="18" t="s">
        <v>42</v>
      </c>
      <c r="C30" s="32" t="s">
        <v>3</v>
      </c>
      <c r="D30" s="57">
        <f aca="true" t="shared" si="8" ref="D30:R30">IF(D28=0,"",(D29/D28)*1000)</f>
        <v>256077.71260997065</v>
      </c>
      <c r="E30" s="52">
        <f t="shared" si="8"/>
        <v>258259.8752598753</v>
      </c>
      <c r="F30" s="52">
        <f t="shared" si="8"/>
        <v>260598.14814814815</v>
      </c>
      <c r="G30" s="52">
        <f t="shared" si="8"/>
        <v>253529.94555353903</v>
      </c>
      <c r="H30" s="52">
        <f t="shared" si="8"/>
        <v>249918.47826086957</v>
      </c>
      <c r="I30" s="61">
        <f t="shared" si="8"/>
        <v>247682.95019157088</v>
      </c>
      <c r="J30" s="69">
        <f t="shared" si="8"/>
        <v>253151.25651967755</v>
      </c>
      <c r="K30" s="65">
        <f t="shared" si="8"/>
        <v>246920.728126835</v>
      </c>
      <c r="L30" s="52">
        <f t="shared" si="8"/>
        <v>246158.0899397311</v>
      </c>
      <c r="M30" s="52">
        <f t="shared" si="8"/>
        <v>243610.60070671377</v>
      </c>
      <c r="N30" s="52">
        <f t="shared" si="8"/>
        <v>240921.07623318388</v>
      </c>
      <c r="O30" s="52">
        <f t="shared" si="8"/>
        <v>246607.34463276836</v>
      </c>
      <c r="P30" s="61">
        <f t="shared" si="8"/>
        <v>241652.60196905766</v>
      </c>
      <c r="Q30" s="69">
        <f t="shared" si="8"/>
        <v>244571.4440589766</v>
      </c>
      <c r="R30" s="65">
        <f t="shared" si="8"/>
        <v>247263.72563606605</v>
      </c>
      <c r="S30" s="16"/>
    </row>
    <row r="31" spans="1:19" s="17" customFormat="1" ht="16.5" customHeight="1">
      <c r="A31" s="101" t="s">
        <v>55</v>
      </c>
      <c r="B31" s="30" t="s">
        <v>9</v>
      </c>
      <c r="C31" s="31" t="s">
        <v>1</v>
      </c>
      <c r="D31" s="56">
        <f>'P一般'!D31+'B一般'!D31</f>
        <v>29914</v>
      </c>
      <c r="E31" s="51">
        <f>'P一般'!E31+'B一般'!E31</f>
        <v>12079</v>
      </c>
      <c r="F31" s="51">
        <f>'P一般'!F31+'B一般'!F31</f>
        <v>0</v>
      </c>
      <c r="G31" s="51">
        <f>'P一般'!G31+'B一般'!G31</f>
        <v>0</v>
      </c>
      <c r="H31" s="51">
        <f>'P一般'!H31+'B一般'!H31</f>
        <v>0</v>
      </c>
      <c r="I31" s="60">
        <f>'P一般'!I31+'B一般'!I31</f>
        <v>0</v>
      </c>
      <c r="J31" s="68">
        <f>SUM(D31:I31)</f>
        <v>41993</v>
      </c>
      <c r="K31" s="64">
        <f>'P一般'!K31+'B一般'!K31</f>
        <v>44967</v>
      </c>
      <c r="L31" s="51">
        <f>'P一般'!L31+'B一般'!L31</f>
        <v>0</v>
      </c>
      <c r="M31" s="51">
        <f>'P一般'!M31+'B一般'!M31</f>
        <v>69086</v>
      </c>
      <c r="N31" s="51">
        <f>'P一般'!N31+'B一般'!N31</f>
        <v>23156</v>
      </c>
      <c r="O31" s="51">
        <f>'P一般'!O31+'B一般'!O31</f>
        <v>0</v>
      </c>
      <c r="P31" s="60">
        <f>'P一般'!P31+'B一般'!P31</f>
        <v>0</v>
      </c>
      <c r="Q31" s="68">
        <f>SUM(K31:P31)</f>
        <v>137209</v>
      </c>
      <c r="R31" s="64">
        <f>J31+Q31</f>
        <v>179202</v>
      </c>
      <c r="S31" s="16"/>
    </row>
    <row r="32" spans="1:19" s="17" customFormat="1" ht="16.5" customHeight="1">
      <c r="A32" s="102"/>
      <c r="B32" s="30" t="s">
        <v>10</v>
      </c>
      <c r="C32" s="31" t="s">
        <v>2</v>
      </c>
      <c r="D32" s="58">
        <f>'P一般'!D32+'B一般'!D32</f>
        <v>1264884</v>
      </c>
      <c r="E32" s="53">
        <f>'P一般'!E32+'B一般'!E32</f>
        <v>503953</v>
      </c>
      <c r="F32" s="53">
        <f>'P一般'!F32+'B一般'!F32</f>
        <v>0</v>
      </c>
      <c r="G32" s="53">
        <f>'P一般'!G32+'B一般'!G32</f>
        <v>0</v>
      </c>
      <c r="H32" s="53">
        <f>'P一般'!H32+'B一般'!H32</f>
        <v>0</v>
      </c>
      <c r="I32" s="62">
        <f>'P一般'!I32+'B一般'!I32</f>
        <v>0</v>
      </c>
      <c r="J32" s="70">
        <f>SUM(D32:I32)</f>
        <v>1768837</v>
      </c>
      <c r="K32" s="66">
        <f>'P一般'!K32+'B一般'!K32</f>
        <v>2197478</v>
      </c>
      <c r="L32" s="53">
        <f>'P一般'!L32+'B一般'!L32</f>
        <v>0</v>
      </c>
      <c r="M32" s="53">
        <f>'P一般'!M32+'B一般'!M32</f>
        <v>4267496</v>
      </c>
      <c r="N32" s="53">
        <f>'P一般'!N32+'B一般'!N32</f>
        <v>1546447</v>
      </c>
      <c r="O32" s="53">
        <f>'P一般'!O32+'B一般'!O32</f>
        <v>0</v>
      </c>
      <c r="P32" s="62">
        <f>'P一般'!P32+'B一般'!P32</f>
        <v>0</v>
      </c>
      <c r="Q32" s="70">
        <f>SUM(K32:P32)</f>
        <v>8011421</v>
      </c>
      <c r="R32" s="66">
        <f>J32+Q32</f>
        <v>9780258</v>
      </c>
      <c r="S32" s="16"/>
    </row>
    <row r="33" spans="1:19" s="17" customFormat="1" ht="16.5" customHeight="1" thickBot="1">
      <c r="A33" s="103"/>
      <c r="B33" s="18" t="s">
        <v>42</v>
      </c>
      <c r="C33" s="32" t="s">
        <v>3</v>
      </c>
      <c r="D33" s="57">
        <f aca="true" t="shared" si="9" ref="D33:R33">IF(D31=0,"",(D32/D31)*1000)</f>
        <v>42284.01417396537</v>
      </c>
      <c r="E33" s="52">
        <f t="shared" si="9"/>
        <v>41721.417335872175</v>
      </c>
      <c r="F33" s="52">
        <f t="shared" si="9"/>
      </c>
      <c r="G33" s="52">
        <f t="shared" si="9"/>
      </c>
      <c r="H33" s="52">
        <f t="shared" si="9"/>
      </c>
      <c r="I33" s="61">
        <f t="shared" si="9"/>
      </c>
      <c r="J33" s="69">
        <f t="shared" si="9"/>
        <v>42122.18703117186</v>
      </c>
      <c r="K33" s="65">
        <f t="shared" si="9"/>
        <v>48868.68147752796</v>
      </c>
      <c r="L33" s="52">
        <f t="shared" si="9"/>
      </c>
      <c r="M33" s="52">
        <f t="shared" si="9"/>
        <v>61770.778450047765</v>
      </c>
      <c r="N33" s="52">
        <f t="shared" si="9"/>
        <v>66783.85731559855</v>
      </c>
      <c r="O33" s="52">
        <f t="shared" si="9"/>
      </c>
      <c r="P33" s="61">
        <f t="shared" si="9"/>
      </c>
      <c r="Q33" s="69">
        <f t="shared" si="9"/>
        <v>58388.45119489246</v>
      </c>
      <c r="R33" s="65">
        <f t="shared" si="9"/>
        <v>54576.72347406837</v>
      </c>
      <c r="S33" s="16"/>
    </row>
    <row r="34" spans="1:19" s="17" customFormat="1" ht="16.5" customHeight="1">
      <c r="A34" s="101" t="s">
        <v>56</v>
      </c>
      <c r="B34" s="30" t="s">
        <v>9</v>
      </c>
      <c r="C34" s="31" t="s">
        <v>1</v>
      </c>
      <c r="D34" s="56">
        <f>'P一般'!D34+'B一般'!D34</f>
        <v>0</v>
      </c>
      <c r="E34" s="51">
        <f>'P一般'!E34+'B一般'!E34</f>
        <v>10936</v>
      </c>
      <c r="F34" s="51">
        <f>'P一般'!F34+'B一般'!F34</f>
        <v>12094</v>
      </c>
      <c r="G34" s="51">
        <f>'P一般'!G34+'B一般'!G34</f>
        <v>21364</v>
      </c>
      <c r="H34" s="51">
        <f>'P一般'!H34+'B一般'!H34</f>
        <v>0</v>
      </c>
      <c r="I34" s="60">
        <f>'P一般'!I34+'B一般'!I34</f>
        <v>0</v>
      </c>
      <c r="J34" s="68">
        <f>SUM(D34:I34)</f>
        <v>44394</v>
      </c>
      <c r="K34" s="64">
        <f>'P一般'!K34+'B一般'!K34</f>
        <v>2004</v>
      </c>
      <c r="L34" s="51">
        <f>'P一般'!L34+'B一般'!L34</f>
        <v>5110</v>
      </c>
      <c r="M34" s="51">
        <f>'P一般'!M34+'B一般'!M34</f>
        <v>0</v>
      </c>
      <c r="N34" s="51">
        <f>'P一般'!N34+'B一般'!N34</f>
        <v>12499</v>
      </c>
      <c r="O34" s="51">
        <f>'P一般'!O34+'B一般'!O34</f>
        <v>0</v>
      </c>
      <c r="P34" s="60">
        <f>'P一般'!P34+'B一般'!P34</f>
        <v>0</v>
      </c>
      <c r="Q34" s="68">
        <f>SUM(K34:P34)</f>
        <v>19613</v>
      </c>
      <c r="R34" s="64">
        <f>J34+Q34</f>
        <v>64007</v>
      </c>
      <c r="S34" s="16"/>
    </row>
    <row r="35" spans="1:19" s="17" customFormat="1" ht="16.5" customHeight="1">
      <c r="A35" s="102"/>
      <c r="B35" s="30" t="s">
        <v>10</v>
      </c>
      <c r="C35" s="31" t="s">
        <v>2</v>
      </c>
      <c r="D35" s="56">
        <f>'P一般'!D35+'B一般'!D35</f>
        <v>0</v>
      </c>
      <c r="E35" s="51">
        <f>'P一般'!E35+'B一般'!E35</f>
        <v>461592</v>
      </c>
      <c r="F35" s="51">
        <f>'P一般'!F35+'B一般'!F35</f>
        <v>474347</v>
      </c>
      <c r="G35" s="51">
        <f>'P一般'!G35+'B一般'!G35</f>
        <v>1096401</v>
      </c>
      <c r="H35" s="51">
        <f>'P一般'!H35+'B一般'!H35</f>
        <v>0</v>
      </c>
      <c r="I35" s="60">
        <f>'P一般'!I35+'B一般'!I35</f>
        <v>0</v>
      </c>
      <c r="J35" s="68">
        <f>SUM(D35:I35)</f>
        <v>2032340</v>
      </c>
      <c r="K35" s="64">
        <f>'P一般'!K35+'B一般'!K35</f>
        <v>106970</v>
      </c>
      <c r="L35" s="51">
        <f>'P一般'!L35+'B一般'!L35</f>
        <v>276910</v>
      </c>
      <c r="M35" s="51">
        <f>'P一般'!M35+'B一般'!M35</f>
        <v>0</v>
      </c>
      <c r="N35" s="51">
        <f>'P一般'!N35+'B一般'!N35</f>
        <v>883244</v>
      </c>
      <c r="O35" s="51">
        <f>'P一般'!O35+'B一般'!O35</f>
        <v>0</v>
      </c>
      <c r="P35" s="60">
        <f>'P一般'!P35+'B一般'!P35</f>
        <v>0</v>
      </c>
      <c r="Q35" s="68">
        <f>SUM(K35:P35)</f>
        <v>1267124</v>
      </c>
      <c r="R35" s="64">
        <f>J35+Q35</f>
        <v>3299464</v>
      </c>
      <c r="S35" s="16"/>
    </row>
    <row r="36" spans="1:19" s="17" customFormat="1" ht="16.5" customHeight="1" thickBot="1">
      <c r="A36" s="103"/>
      <c r="B36" s="18" t="s">
        <v>42</v>
      </c>
      <c r="C36" s="32" t="s">
        <v>3</v>
      </c>
      <c r="D36" s="57">
        <f aca="true" t="shared" si="10" ref="D36:R36">IF(D34=0,"",(D35/D34)*1000)</f>
      </c>
      <c r="E36" s="52">
        <f t="shared" si="10"/>
        <v>42208.48573518654</v>
      </c>
      <c r="F36" s="52">
        <f t="shared" si="10"/>
        <v>39221.68017198611</v>
      </c>
      <c r="G36" s="52">
        <f t="shared" si="10"/>
        <v>51320.02434001124</v>
      </c>
      <c r="H36" s="52">
        <f t="shared" si="10"/>
      </c>
      <c r="I36" s="61">
        <f t="shared" si="10"/>
      </c>
      <c r="J36" s="69">
        <f t="shared" si="10"/>
        <v>45779.609857187905</v>
      </c>
      <c r="K36" s="65">
        <f t="shared" si="10"/>
        <v>53378.243512974055</v>
      </c>
      <c r="L36" s="52">
        <f t="shared" si="10"/>
        <v>54189.823874755384</v>
      </c>
      <c r="M36" s="52">
        <f t="shared" si="10"/>
      </c>
      <c r="N36" s="52">
        <f t="shared" si="10"/>
        <v>70665.1732138571</v>
      </c>
      <c r="O36" s="52">
        <f t="shared" si="10"/>
      </c>
      <c r="P36" s="61">
        <f t="shared" si="10"/>
      </c>
      <c r="Q36" s="69">
        <f t="shared" si="10"/>
        <v>64606.33253454341</v>
      </c>
      <c r="R36" s="65">
        <f t="shared" si="10"/>
        <v>51548.48688424703</v>
      </c>
      <c r="S36" s="16"/>
    </row>
    <row r="37" spans="1:19" s="17" customFormat="1" ht="16.5" customHeight="1">
      <c r="A37" s="101" t="s">
        <v>12</v>
      </c>
      <c r="B37" s="30" t="s">
        <v>9</v>
      </c>
      <c r="C37" s="31" t="s">
        <v>1</v>
      </c>
      <c r="D37" s="59">
        <f>'P一般'!D37+'B一般'!D37</f>
        <v>62919</v>
      </c>
      <c r="E37" s="54">
        <f>'P一般'!E37+'B一般'!E37</f>
        <v>51</v>
      </c>
      <c r="F37" s="54">
        <f>'P一般'!F37+'B一般'!F37</f>
        <v>90797</v>
      </c>
      <c r="G37" s="54">
        <f>'P一般'!G37+'B一般'!G37</f>
        <v>8971</v>
      </c>
      <c r="H37" s="54">
        <f>'P一般'!H37+'B一般'!H37</f>
        <v>62</v>
      </c>
      <c r="I37" s="63">
        <f>'P一般'!I37+'B一般'!I37</f>
        <v>21053</v>
      </c>
      <c r="J37" s="71">
        <f>SUM(D37:I37)</f>
        <v>183853</v>
      </c>
      <c r="K37" s="67">
        <f>'P一般'!K37+'B一般'!K37</f>
        <v>11498</v>
      </c>
      <c r="L37" s="54">
        <f>'P一般'!L37+'B一般'!L37</f>
        <v>25138</v>
      </c>
      <c r="M37" s="54">
        <f>'P一般'!M37+'B一般'!M37</f>
        <v>331</v>
      </c>
      <c r="N37" s="54">
        <f>'P一般'!N37+'B一般'!N37</f>
        <v>161</v>
      </c>
      <c r="O37" s="54">
        <f>'P一般'!O37+'B一般'!O37</f>
        <v>45391</v>
      </c>
      <c r="P37" s="63">
        <f>'P一般'!P37+'B一般'!P37</f>
        <v>42115</v>
      </c>
      <c r="Q37" s="71">
        <f>SUM(K37:P37)</f>
        <v>124634</v>
      </c>
      <c r="R37" s="67">
        <f>J37+Q37</f>
        <v>308487</v>
      </c>
      <c r="S37" s="16"/>
    </row>
    <row r="38" spans="1:19" s="17" customFormat="1" ht="16.5" customHeight="1">
      <c r="A38" s="102"/>
      <c r="B38" s="30" t="s">
        <v>10</v>
      </c>
      <c r="C38" s="31" t="s">
        <v>2</v>
      </c>
      <c r="D38" s="58">
        <f>'P一般'!D38+'B一般'!D38</f>
        <v>2706958</v>
      </c>
      <c r="E38" s="53">
        <f>'P一般'!E38+'B一般'!E38</f>
        <v>23281</v>
      </c>
      <c r="F38" s="53">
        <f>'P一般'!F38+'B一般'!F38</f>
        <v>3921182</v>
      </c>
      <c r="G38" s="53">
        <f>'P一般'!G38+'B一般'!G38</f>
        <v>451690</v>
      </c>
      <c r="H38" s="53">
        <f>'P一般'!H38+'B一般'!H38</f>
        <v>24422</v>
      </c>
      <c r="I38" s="62">
        <f>'P一般'!I38+'B一般'!I38</f>
        <v>932674</v>
      </c>
      <c r="J38" s="70">
        <f>SUM(D38:I38)</f>
        <v>8060207</v>
      </c>
      <c r="K38" s="66">
        <f>'P一般'!K38+'B一般'!K38</f>
        <v>654326</v>
      </c>
      <c r="L38" s="53">
        <f>'P一般'!L38+'B一般'!L38</f>
        <v>1274390</v>
      </c>
      <c r="M38" s="53">
        <f>'P一般'!M38+'B一般'!M38</f>
        <v>85008</v>
      </c>
      <c r="N38" s="53">
        <f>'P一般'!N38+'B一般'!N38</f>
        <v>43064</v>
      </c>
      <c r="O38" s="53">
        <f>'P一般'!O38+'B一般'!O38</f>
        <v>2957506</v>
      </c>
      <c r="P38" s="62">
        <f>'P一般'!P38+'B一般'!P38</f>
        <v>2776920</v>
      </c>
      <c r="Q38" s="70">
        <f>SUM(K38:P38)</f>
        <v>7791214</v>
      </c>
      <c r="R38" s="66">
        <f>J38+Q38</f>
        <v>15851421</v>
      </c>
      <c r="S38" s="16"/>
    </row>
    <row r="39" spans="1:19" s="17" customFormat="1" ht="16.5" customHeight="1" thickBot="1">
      <c r="A39" s="103"/>
      <c r="B39" s="18" t="s">
        <v>42</v>
      </c>
      <c r="C39" s="32" t="s">
        <v>3</v>
      </c>
      <c r="D39" s="57">
        <f aca="true" t="shared" si="11" ref="D39:R39">IF(D37=0,"",(D38/D37)*1000)</f>
        <v>43022.90246189546</v>
      </c>
      <c r="E39" s="52">
        <f t="shared" si="11"/>
        <v>456490.1960784314</v>
      </c>
      <c r="F39" s="52">
        <f t="shared" si="11"/>
        <v>43186.250647047804</v>
      </c>
      <c r="G39" s="52">
        <f t="shared" si="11"/>
        <v>50350.01672054398</v>
      </c>
      <c r="H39" s="52">
        <f t="shared" si="11"/>
        <v>393903.2258064516</v>
      </c>
      <c r="I39" s="61">
        <f t="shared" si="11"/>
        <v>44301.23972830476</v>
      </c>
      <c r="J39" s="69">
        <f t="shared" si="11"/>
        <v>43840.49757142935</v>
      </c>
      <c r="K39" s="65">
        <f t="shared" si="11"/>
        <v>56907.81005392242</v>
      </c>
      <c r="L39" s="52">
        <f t="shared" si="11"/>
        <v>50695.75940806747</v>
      </c>
      <c r="M39" s="52">
        <f t="shared" si="11"/>
        <v>256821.75226586105</v>
      </c>
      <c r="N39" s="52">
        <f t="shared" si="11"/>
        <v>267478.2608695652</v>
      </c>
      <c r="O39" s="52">
        <f t="shared" si="11"/>
        <v>65156.220396113764</v>
      </c>
      <c r="P39" s="61">
        <f t="shared" si="11"/>
        <v>65936.60216075032</v>
      </c>
      <c r="Q39" s="69">
        <f t="shared" si="11"/>
        <v>62512.74933003835</v>
      </c>
      <c r="R39" s="65">
        <f t="shared" si="11"/>
        <v>51384.40517752774</v>
      </c>
      <c r="S39" s="16"/>
    </row>
    <row r="40" spans="1:19" s="17" customFormat="1" ht="16.5" customHeight="1">
      <c r="A40" s="101" t="s">
        <v>4</v>
      </c>
      <c r="B40" s="30" t="s">
        <v>9</v>
      </c>
      <c r="C40" s="31" t="s">
        <v>1</v>
      </c>
      <c r="D40" s="59">
        <f>'P一般'!D40+'B一般'!D40</f>
        <v>834921</v>
      </c>
      <c r="E40" s="54">
        <f>'P一般'!E40+'B一般'!E40</f>
        <v>640223</v>
      </c>
      <c r="F40" s="54">
        <f>'P一般'!F40+'B一般'!F40</f>
        <v>969940</v>
      </c>
      <c r="G40" s="54">
        <f>'P一般'!G40+'B一般'!G40</f>
        <v>769833</v>
      </c>
      <c r="H40" s="54">
        <f>'P一般'!H40+'B一般'!H40</f>
        <v>760856</v>
      </c>
      <c r="I40" s="63">
        <f>'P一般'!I40+'B一般'!I40</f>
        <v>882739</v>
      </c>
      <c r="J40" s="71">
        <f>'P一般'!J40+'B一般'!J40</f>
        <v>4858512</v>
      </c>
      <c r="K40" s="67">
        <f>'P一般'!K40+'B一般'!K40</f>
        <v>867757</v>
      </c>
      <c r="L40" s="54">
        <f>'P一般'!L40+'B一般'!L40</f>
        <v>1100508</v>
      </c>
      <c r="M40" s="54">
        <f>'P一般'!M40+'B一般'!M40</f>
        <v>969596</v>
      </c>
      <c r="N40" s="54">
        <f>'P一般'!N40+'B一般'!N40</f>
        <v>1010186</v>
      </c>
      <c r="O40" s="54">
        <f>'P一般'!O40+'B一般'!O40</f>
        <v>734996</v>
      </c>
      <c r="P40" s="63">
        <f>'P一般'!P40+'B一般'!P40</f>
        <v>1099044</v>
      </c>
      <c r="Q40" s="71">
        <f>'P一般'!Q40+'B一般'!Q40</f>
        <v>5782087</v>
      </c>
      <c r="R40" s="67">
        <f>J40+Q40</f>
        <v>10640599</v>
      </c>
      <c r="S40" s="16"/>
    </row>
    <row r="41" spans="1:19" s="17" customFormat="1" ht="16.5" customHeight="1">
      <c r="A41" s="102"/>
      <c r="B41" s="30" t="s">
        <v>10</v>
      </c>
      <c r="C41" s="31" t="s">
        <v>2</v>
      </c>
      <c r="D41" s="58">
        <f>'P一般'!D41+'B一般'!D41</f>
        <v>39218358</v>
      </c>
      <c r="E41" s="53">
        <f>'P一般'!E41+'B一般'!E41</f>
        <v>27786866</v>
      </c>
      <c r="F41" s="53">
        <f>'P一般'!F41+'B一般'!F41</f>
        <v>40465611</v>
      </c>
      <c r="G41" s="53">
        <f>'P一般'!G41+'B一般'!G41</f>
        <v>34902374</v>
      </c>
      <c r="H41" s="53">
        <f>'P一般'!H41+'B一般'!H41</f>
        <v>38210280</v>
      </c>
      <c r="I41" s="62">
        <f>'P一般'!I41+'B一般'!I41</f>
        <v>45421703</v>
      </c>
      <c r="J41" s="70">
        <f>'P一般'!J41+'B一般'!J41</f>
        <v>226005192</v>
      </c>
      <c r="K41" s="66">
        <f>'P一般'!K41+'B一般'!K41</f>
        <v>46339053</v>
      </c>
      <c r="L41" s="53">
        <f>'P一般'!L41+'B一般'!L41</f>
        <v>62942550</v>
      </c>
      <c r="M41" s="53">
        <f>'P一般'!M41+'B一般'!M41</f>
        <v>58545141</v>
      </c>
      <c r="N41" s="53">
        <f>'P一般'!N41+'B一般'!N41</f>
        <v>66614194</v>
      </c>
      <c r="O41" s="53">
        <f>'P一般'!O41+'B一般'!O41</f>
        <v>49382184</v>
      </c>
      <c r="P41" s="62">
        <f>'P一般'!P41+'B一般'!P41</f>
        <v>73879109</v>
      </c>
      <c r="Q41" s="70">
        <f>'P一般'!Q41+'B一般'!Q41</f>
        <v>357702231</v>
      </c>
      <c r="R41" s="66">
        <f>J41+Q41</f>
        <v>583707423</v>
      </c>
      <c r="S41" s="16"/>
    </row>
    <row r="42" spans="1:19" s="17" customFormat="1" ht="16.5" customHeight="1" thickBot="1">
      <c r="A42" s="103"/>
      <c r="B42" s="18" t="s">
        <v>42</v>
      </c>
      <c r="C42" s="32" t="s">
        <v>3</v>
      </c>
      <c r="D42" s="57">
        <f aca="true" t="shared" si="12" ref="D42:R42">IF(D40=0,"",(D41/D40)*1000)</f>
        <v>46972.537521514016</v>
      </c>
      <c r="E42" s="52">
        <f t="shared" si="12"/>
        <v>43401.855291047024</v>
      </c>
      <c r="F42" s="52">
        <f t="shared" si="12"/>
        <v>41719.70534259851</v>
      </c>
      <c r="G42" s="52">
        <f t="shared" si="12"/>
        <v>45337.591399693185</v>
      </c>
      <c r="H42" s="52">
        <f t="shared" si="12"/>
        <v>50220.12049586255</v>
      </c>
      <c r="I42" s="61">
        <f t="shared" si="12"/>
        <v>51455.416606720675</v>
      </c>
      <c r="J42" s="69">
        <f t="shared" si="12"/>
        <v>46517.368280658775</v>
      </c>
      <c r="K42" s="65">
        <f t="shared" si="12"/>
        <v>53400.95556705391</v>
      </c>
      <c r="L42" s="52">
        <f t="shared" si="12"/>
        <v>57194.086730855204</v>
      </c>
      <c r="M42" s="52">
        <f t="shared" si="12"/>
        <v>60380.963824108185</v>
      </c>
      <c r="N42" s="52">
        <f t="shared" si="12"/>
        <v>65942.50365774223</v>
      </c>
      <c r="O42" s="52">
        <f t="shared" si="12"/>
        <v>67187.01054155397</v>
      </c>
      <c r="P42" s="61">
        <f t="shared" si="12"/>
        <v>67221.24773894403</v>
      </c>
      <c r="Q42" s="69">
        <f t="shared" si="12"/>
        <v>61863.8617855456</v>
      </c>
      <c r="R42" s="65">
        <f t="shared" si="12"/>
        <v>54856.631943370856</v>
      </c>
      <c r="S42" s="16"/>
    </row>
    <row r="43" spans="1:19" s="17" customFormat="1" ht="24" customHeight="1" thickBot="1">
      <c r="A43" s="108" t="s">
        <v>13</v>
      </c>
      <c r="B43" s="109"/>
      <c r="C43" s="116"/>
      <c r="D43" s="74">
        <f>'総合計'!D43</f>
        <v>98.82</v>
      </c>
      <c r="E43" s="75">
        <f>'総合計'!E43</f>
        <v>97.81</v>
      </c>
      <c r="F43" s="75">
        <f>'総合計'!F43</f>
        <v>96.17</v>
      </c>
      <c r="G43" s="75">
        <f>'総合計'!G43</f>
        <v>95.09</v>
      </c>
      <c r="H43" s="75">
        <f>'総合計'!H43</f>
        <v>94.97</v>
      </c>
      <c r="I43" s="76">
        <f>'総合計'!I43</f>
        <v>93.05</v>
      </c>
      <c r="J43" s="77">
        <f>'総合計'!J43</f>
        <v>95.92</v>
      </c>
      <c r="K43" s="78">
        <f>'総合計'!K43</f>
        <v>89.99</v>
      </c>
      <c r="L43" s="75">
        <f>'総合計'!L43</f>
        <v>90.61</v>
      </c>
      <c r="M43" s="75">
        <f>'総合計'!M43</f>
        <v>88.33</v>
      </c>
      <c r="N43" s="75">
        <f>'総合計'!N43</f>
        <v>91.61</v>
      </c>
      <c r="O43" s="75">
        <f>'総合計'!O43</f>
        <v>90.22</v>
      </c>
      <c r="P43" s="76">
        <f>'総合計'!P43</f>
        <v>90.11</v>
      </c>
      <c r="Q43" s="77">
        <f>'総合計'!Q43</f>
        <v>90.16</v>
      </c>
      <c r="R43" s="79">
        <f>'総合計'!R43</f>
        <v>92.97</v>
      </c>
      <c r="S43" s="16"/>
    </row>
    <row r="44" spans="1:18" ht="12.75">
      <c r="A44" s="97" t="str">
        <f>'総合計'!A53</f>
        <v>※数値はすべて確定値。</v>
      </c>
      <c r="D44" s="6"/>
      <c r="E44" s="6"/>
      <c r="F44" s="6"/>
      <c r="G44" s="6"/>
      <c r="H44" s="6"/>
      <c r="I44" s="6"/>
      <c r="J44" s="7"/>
      <c r="K44" s="6"/>
      <c r="L44" s="72"/>
      <c r="M44" s="72"/>
      <c r="N44" s="72"/>
      <c r="O44" s="72"/>
      <c r="P44" s="6"/>
      <c r="Q44" s="6"/>
      <c r="R44" s="6"/>
    </row>
    <row r="45" spans="4:18" ht="12.75">
      <c r="D45" s="6"/>
      <c r="E45" s="6"/>
      <c r="F45" s="6"/>
      <c r="G45" s="6"/>
      <c r="H45" s="8"/>
      <c r="I45" s="6"/>
      <c r="J45" s="6"/>
      <c r="K45" s="6"/>
      <c r="L45" s="6"/>
      <c r="M45" s="6"/>
      <c r="N45" s="6"/>
      <c r="O45" s="8"/>
      <c r="P45" s="8"/>
      <c r="Q45" s="6"/>
      <c r="R45" s="9"/>
    </row>
  </sheetData>
  <mergeCells count="15">
    <mergeCell ref="D1:P1"/>
    <mergeCell ref="A4:A6"/>
    <mergeCell ref="A7:A9"/>
    <mergeCell ref="A10:A12"/>
    <mergeCell ref="A13:A15"/>
    <mergeCell ref="A16:A18"/>
    <mergeCell ref="A19:A21"/>
    <mergeCell ref="A22:A24"/>
    <mergeCell ref="A37:A39"/>
    <mergeCell ref="A40:A42"/>
    <mergeCell ref="A43:C43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71" r:id="rId2"/>
  <headerFooter alignWithMargins="0">
    <oddFooter>&amp;C&amp;20-2-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Zeros="0" zoomScale="55" zoomScaleNormal="55" zoomScaleSheetLayoutView="85" workbookViewId="0" topLeftCell="A1">
      <selection activeCell="Q43" sqref="Q43"/>
    </sheetView>
  </sheetViews>
  <sheetFormatPr defaultColWidth="9.140625" defaultRowHeight="12.75"/>
  <cols>
    <col min="1" max="1" width="14.421875" style="0" customWidth="1"/>
    <col min="4" max="9" width="10.7109375" style="0" customWidth="1"/>
    <col min="10" max="10" width="11.421875" style="0" customWidth="1"/>
    <col min="11" max="16" width="10.7109375" style="0" customWidth="1"/>
    <col min="17" max="18" width="11.421875" style="0" customWidth="1"/>
    <col min="19" max="19" width="11.28125" style="0" customWidth="1"/>
  </cols>
  <sheetData>
    <row r="1" spans="1:16" ht="29.25" customHeight="1">
      <c r="A1" s="13" t="s">
        <v>4</v>
      </c>
      <c r="B1" s="10" t="s">
        <v>93</v>
      </c>
      <c r="C1" s="1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8" ht="18" customHeight="1" thickBot="1">
      <c r="A2" s="12" t="s">
        <v>5</v>
      </c>
      <c r="B2" s="1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8">
        <f>'総合計'!Q2</f>
        <v>40616</v>
      </c>
    </row>
    <row r="3" spans="1:19" ht="24" customHeight="1" thickBot="1">
      <c r="A3" s="28" t="s">
        <v>32</v>
      </c>
      <c r="B3" s="27"/>
      <c r="C3" s="27"/>
      <c r="D3" s="21" t="s">
        <v>16</v>
      </c>
      <c r="E3" s="23" t="s">
        <v>17</v>
      </c>
      <c r="F3" s="23" t="s">
        <v>18</v>
      </c>
      <c r="G3" s="23" t="s">
        <v>19</v>
      </c>
      <c r="H3" s="23" t="s">
        <v>20</v>
      </c>
      <c r="I3" s="24" t="s">
        <v>21</v>
      </c>
      <c r="J3" s="25" t="s">
        <v>22</v>
      </c>
      <c r="K3" s="24" t="s">
        <v>23</v>
      </c>
      <c r="L3" s="23" t="s">
        <v>24</v>
      </c>
      <c r="M3" s="23" t="s">
        <v>25</v>
      </c>
      <c r="N3" s="23" t="s">
        <v>26</v>
      </c>
      <c r="O3" s="23" t="s">
        <v>27</v>
      </c>
      <c r="P3" s="24" t="s">
        <v>28</v>
      </c>
      <c r="Q3" s="25" t="s">
        <v>29</v>
      </c>
      <c r="R3" s="26" t="s">
        <v>30</v>
      </c>
      <c r="S3" s="5"/>
    </row>
    <row r="4" spans="1:19" s="17" customFormat="1" ht="16.5" customHeight="1">
      <c r="A4" s="101" t="s">
        <v>41</v>
      </c>
      <c r="B4" s="30" t="s">
        <v>9</v>
      </c>
      <c r="C4" s="33" t="s">
        <v>1</v>
      </c>
      <c r="D4" s="55">
        <f>'B原料'!D4</f>
        <v>13939</v>
      </c>
      <c r="E4" s="51">
        <f>'B原料'!E4</f>
        <v>45425</v>
      </c>
      <c r="F4" s="51">
        <f>'B原料'!F4</f>
        <v>57505</v>
      </c>
      <c r="G4" s="51">
        <f>'B原料'!G4</f>
        <v>7554</v>
      </c>
      <c r="H4" s="51">
        <f>'B原料'!H4</f>
        <v>60634</v>
      </c>
      <c r="I4" s="60">
        <f>'B原料'!I4</f>
        <v>31669</v>
      </c>
      <c r="J4" s="73">
        <f>'B原料'!J4</f>
        <v>216726</v>
      </c>
      <c r="K4" s="64">
        <f>'B原料'!K4</f>
        <v>5857</v>
      </c>
      <c r="L4" s="51">
        <f>'B原料'!L4</f>
        <v>8817</v>
      </c>
      <c r="M4" s="51">
        <f>'B原料'!M4</f>
        <v>9631</v>
      </c>
      <c r="N4" s="51">
        <f>'B原料'!N4+'P原料'!N4</f>
        <v>4000</v>
      </c>
      <c r="O4" s="51">
        <f>'B原料'!O4+'P原料'!O4</f>
        <v>0</v>
      </c>
      <c r="P4" s="60">
        <f>'B原料'!P4+'P原料'!P4</f>
        <v>0</v>
      </c>
      <c r="Q4" s="73">
        <f>SUM(K4:P4)</f>
        <v>28305</v>
      </c>
      <c r="R4" s="64">
        <f>Q4+J4</f>
        <v>245031</v>
      </c>
      <c r="S4" s="16"/>
    </row>
    <row r="5" spans="1:19" s="17" customFormat="1" ht="16.5" customHeight="1">
      <c r="A5" s="102"/>
      <c r="B5" s="30" t="s">
        <v>10</v>
      </c>
      <c r="C5" s="34" t="s">
        <v>2</v>
      </c>
      <c r="D5" s="56">
        <f>'B原料'!D5</f>
        <v>569648</v>
      </c>
      <c r="E5" s="51">
        <f>'B原料'!E5</f>
        <v>1902300</v>
      </c>
      <c r="F5" s="51">
        <f>'B原料'!F5</f>
        <v>2595961</v>
      </c>
      <c r="G5" s="51">
        <f>'B原料'!G5</f>
        <v>398930</v>
      </c>
      <c r="H5" s="51">
        <f>'B原料'!H5</f>
        <v>3288397</v>
      </c>
      <c r="I5" s="60">
        <f>'B原料'!I5</f>
        <v>1819100</v>
      </c>
      <c r="J5" s="68">
        <f>'B原料'!J5</f>
        <v>10574336</v>
      </c>
      <c r="K5" s="64">
        <f>'B原料'!K5</f>
        <v>232433</v>
      </c>
      <c r="L5" s="51">
        <f>'B原料'!L5</f>
        <v>514345</v>
      </c>
      <c r="M5" s="51">
        <f>'B原料'!M5</f>
        <v>600185</v>
      </c>
      <c r="N5" s="51">
        <f>'B原料'!N5+'P原料'!N5</f>
        <v>275230</v>
      </c>
      <c r="O5" s="51">
        <f>'B原料'!O5+'P原料'!O5</f>
        <v>0</v>
      </c>
      <c r="P5" s="60">
        <f>'B原料'!P5+'P原料'!P5</f>
        <v>0</v>
      </c>
      <c r="Q5" s="68">
        <f>SUM(K5:P5)</f>
        <v>1622193</v>
      </c>
      <c r="R5" s="64">
        <f>Q5+J5</f>
        <v>12196529</v>
      </c>
      <c r="S5" s="16"/>
    </row>
    <row r="6" spans="1:19" s="17" customFormat="1" ht="16.5" customHeight="1" thickBot="1">
      <c r="A6" s="103"/>
      <c r="B6" s="18" t="s">
        <v>42</v>
      </c>
      <c r="C6" s="35" t="s">
        <v>3</v>
      </c>
      <c r="D6" s="57">
        <f>IF(D4=0,,D5/D4*1000)</f>
        <v>40867.207116722864</v>
      </c>
      <c r="E6" s="52">
        <f>IF(E4=0,,E5/E4*1000)</f>
        <v>41877.820583379194</v>
      </c>
      <c r="F6" s="52">
        <f>IF(F4=0,,F5/F4*1000)</f>
        <v>45143.222328493175</v>
      </c>
      <c r="G6" s="52">
        <f aca="true" t="shared" si="0" ref="G6:R6">IF(G4=0,,G5/G4*1000)</f>
        <v>52810.43155943871</v>
      </c>
      <c r="H6" s="52">
        <f t="shared" si="0"/>
        <v>54233.54883398754</v>
      </c>
      <c r="I6" s="61">
        <f t="shared" si="0"/>
        <v>57441.03066089867</v>
      </c>
      <c r="J6" s="69">
        <f t="shared" si="0"/>
        <v>48791.266391665056</v>
      </c>
      <c r="K6" s="65">
        <f t="shared" si="0"/>
        <v>39684.65084514256</v>
      </c>
      <c r="L6" s="52">
        <f t="shared" si="0"/>
        <v>58335.60167857548</v>
      </c>
      <c r="M6" s="52">
        <f t="shared" si="0"/>
        <v>62318.03551033122</v>
      </c>
      <c r="N6" s="52">
        <f t="shared" si="0"/>
        <v>68807.5</v>
      </c>
      <c r="O6" s="52">
        <f t="shared" si="0"/>
        <v>0</v>
      </c>
      <c r="P6" s="61">
        <f t="shared" si="0"/>
        <v>0</v>
      </c>
      <c r="Q6" s="69">
        <f t="shared" si="0"/>
        <v>57311.1817700053</v>
      </c>
      <c r="R6" s="65">
        <f t="shared" si="0"/>
        <v>49775.45290187772</v>
      </c>
      <c r="S6" s="16"/>
    </row>
    <row r="7" spans="1:19" s="17" customFormat="1" ht="16.5" customHeight="1">
      <c r="A7" s="101" t="s">
        <v>51</v>
      </c>
      <c r="B7" s="30" t="s">
        <v>9</v>
      </c>
      <c r="C7" s="34" t="s">
        <v>1</v>
      </c>
      <c r="D7" s="56">
        <f>'B原料'!D7</f>
        <v>20016</v>
      </c>
      <c r="E7" s="51">
        <f>'B原料'!E7</f>
        <v>16394</v>
      </c>
      <c r="F7" s="51">
        <f>'B原料'!F7</f>
        <v>18975</v>
      </c>
      <c r="G7" s="51">
        <f>'B原料'!G7</f>
        <v>8984</v>
      </c>
      <c r="H7" s="51">
        <f>'B原料'!H7</f>
        <v>53969</v>
      </c>
      <c r="I7" s="60">
        <f>'B原料'!I7</f>
        <v>18214</v>
      </c>
      <c r="J7" s="68">
        <f>'B原料'!J7</f>
        <v>136552</v>
      </c>
      <c r="K7" s="64">
        <f>'B原料'!K7</f>
        <v>4686</v>
      </c>
      <c r="L7" s="51">
        <f>'B原料'!L7</f>
        <v>0</v>
      </c>
      <c r="M7" s="51">
        <f>'B原料'!M7</f>
        <v>0</v>
      </c>
      <c r="N7" s="51">
        <f>'B原料'!N7+'P原料'!N7</f>
        <v>0</v>
      </c>
      <c r="O7" s="51">
        <f>'B原料'!O7+'P原料'!O7</f>
        <v>0</v>
      </c>
      <c r="P7" s="60">
        <f>'B原料'!P7+'P原料'!P7</f>
        <v>0</v>
      </c>
      <c r="Q7" s="68">
        <f>SUM(K7:P7)</f>
        <v>4686</v>
      </c>
      <c r="R7" s="64">
        <f>Q7+J7</f>
        <v>141238</v>
      </c>
      <c r="S7" s="16"/>
    </row>
    <row r="8" spans="1:19" s="17" customFormat="1" ht="16.5" customHeight="1">
      <c r="A8" s="102"/>
      <c r="B8" s="30" t="s">
        <v>10</v>
      </c>
      <c r="C8" s="34" t="s">
        <v>2</v>
      </c>
      <c r="D8" s="56">
        <f>'B原料'!D8</f>
        <v>798642</v>
      </c>
      <c r="E8" s="51">
        <f>'B原料'!E8</f>
        <v>705445</v>
      </c>
      <c r="F8" s="51">
        <f>'B原料'!F8</f>
        <v>788323</v>
      </c>
      <c r="G8" s="51">
        <f>'B原料'!G8</f>
        <v>487165</v>
      </c>
      <c r="H8" s="51">
        <f>'B原料'!H8</f>
        <v>2959911</v>
      </c>
      <c r="I8" s="60">
        <f>'B原料'!I8</f>
        <v>1018403</v>
      </c>
      <c r="J8" s="68">
        <f>'B原料'!J8</f>
        <v>6757889</v>
      </c>
      <c r="K8" s="64">
        <f>'B原料'!K8</f>
        <v>232917</v>
      </c>
      <c r="L8" s="51">
        <f>'B原料'!L8</f>
        <v>0</v>
      </c>
      <c r="M8" s="51">
        <f>'B原料'!M8</f>
        <v>0</v>
      </c>
      <c r="N8" s="51">
        <f>'B原料'!N8+'P原料'!N8</f>
        <v>0</v>
      </c>
      <c r="O8" s="51">
        <f>'B原料'!O8+'P原料'!O8</f>
        <v>0</v>
      </c>
      <c r="P8" s="60">
        <f>'B原料'!P8+'P原料'!P8</f>
        <v>0</v>
      </c>
      <c r="Q8" s="68">
        <f>SUM(K8:P8)</f>
        <v>232917</v>
      </c>
      <c r="R8" s="64">
        <f>Q8+J8</f>
        <v>6990806</v>
      </c>
      <c r="S8" s="16"/>
    </row>
    <row r="9" spans="1:19" s="17" customFormat="1" ht="16.5" customHeight="1" thickBot="1">
      <c r="A9" s="103"/>
      <c r="B9" s="18" t="s">
        <v>42</v>
      </c>
      <c r="C9" s="35" t="s">
        <v>3</v>
      </c>
      <c r="D9" s="57">
        <f>IF(D7=0,,D8/D7*1000)</f>
        <v>39900.17985611511</v>
      </c>
      <c r="E9" s="52">
        <f>IF(E7=0,,E8/E7*1000)</f>
        <v>43030.68195681347</v>
      </c>
      <c r="F9" s="52">
        <f>IF(F7=0,,F8/F7*1000)</f>
        <v>41545.34914361001</v>
      </c>
      <c r="G9" s="52">
        <f aca="true" t="shared" si="1" ref="G9:R9">IF(G7=0,,G8/G7*1000)</f>
        <v>54225.84594835263</v>
      </c>
      <c r="H9" s="52">
        <f t="shared" si="1"/>
        <v>54844.65155922845</v>
      </c>
      <c r="I9" s="61">
        <f t="shared" si="1"/>
        <v>55913.19863841002</v>
      </c>
      <c r="J9" s="69">
        <f t="shared" si="1"/>
        <v>49489.4911828461</v>
      </c>
      <c r="K9" s="65">
        <f t="shared" si="1"/>
        <v>49704.865556978235</v>
      </c>
      <c r="L9" s="52">
        <f t="shared" si="1"/>
        <v>0</v>
      </c>
      <c r="M9" s="52">
        <f t="shared" si="1"/>
        <v>0</v>
      </c>
      <c r="N9" s="52">
        <f t="shared" si="1"/>
        <v>0</v>
      </c>
      <c r="O9" s="52">
        <f t="shared" si="1"/>
        <v>0</v>
      </c>
      <c r="P9" s="61">
        <f t="shared" si="1"/>
        <v>0</v>
      </c>
      <c r="Q9" s="69">
        <f t="shared" si="1"/>
        <v>49704.865556978235</v>
      </c>
      <c r="R9" s="65">
        <f t="shared" si="1"/>
        <v>49496.63688242541</v>
      </c>
      <c r="S9" s="16"/>
    </row>
    <row r="10" spans="1:19" s="17" customFormat="1" ht="16.5" customHeight="1">
      <c r="A10" s="101" t="s">
        <v>52</v>
      </c>
      <c r="B10" s="30" t="s">
        <v>9</v>
      </c>
      <c r="C10" s="34" t="s">
        <v>1</v>
      </c>
      <c r="D10" s="56">
        <f>'B原料'!D10</f>
        <v>0</v>
      </c>
      <c r="E10" s="51">
        <f>'B原料'!E10</f>
        <v>0</v>
      </c>
      <c r="F10" s="51">
        <f>'B原料'!F10</f>
        <v>0</v>
      </c>
      <c r="G10" s="51">
        <f>'B原料'!G10</f>
        <v>0</v>
      </c>
      <c r="H10" s="51">
        <f>'B原料'!H10</f>
        <v>0</v>
      </c>
      <c r="I10" s="60">
        <f>'B原料'!I10</f>
        <v>0</v>
      </c>
      <c r="J10" s="68">
        <f>'B原料'!J10</f>
        <v>0</v>
      </c>
      <c r="K10" s="64">
        <f>'B原料'!K10</f>
        <v>8544</v>
      </c>
      <c r="L10" s="51">
        <f>'B原料'!L10</f>
        <v>0</v>
      </c>
      <c r="M10" s="51">
        <f>'B原料'!M10</f>
        <v>0</v>
      </c>
      <c r="N10" s="51">
        <f>'B原料'!N10+'P原料'!N10</f>
        <v>0</v>
      </c>
      <c r="O10" s="51">
        <f>'B原料'!O10+'P原料'!O10</f>
        <v>0</v>
      </c>
      <c r="P10" s="60">
        <f>'B原料'!P10+'P原料'!P10</f>
        <v>0</v>
      </c>
      <c r="Q10" s="68">
        <f>SUM(K10:P10)</f>
        <v>8544</v>
      </c>
      <c r="R10" s="64">
        <f>Q10+J10</f>
        <v>8544</v>
      </c>
      <c r="S10" s="16"/>
    </row>
    <row r="11" spans="1:19" s="17" customFormat="1" ht="16.5" customHeight="1">
      <c r="A11" s="102"/>
      <c r="B11" s="30" t="s">
        <v>10</v>
      </c>
      <c r="C11" s="34" t="s">
        <v>2</v>
      </c>
      <c r="D11" s="58">
        <f>'B原料'!D11</f>
        <v>0</v>
      </c>
      <c r="E11" s="53">
        <f>'B原料'!E11</f>
        <v>0</v>
      </c>
      <c r="F11" s="53">
        <f>'B原料'!F11</f>
        <v>0</v>
      </c>
      <c r="G11" s="53">
        <f>'B原料'!G11</f>
        <v>0</v>
      </c>
      <c r="H11" s="53">
        <f>'B原料'!H11</f>
        <v>0</v>
      </c>
      <c r="I11" s="62">
        <f>'B原料'!I11</f>
        <v>0</v>
      </c>
      <c r="J11" s="70">
        <f>'B原料'!J11</f>
        <v>0</v>
      </c>
      <c r="K11" s="66">
        <f>'B原料'!K11</f>
        <v>548137</v>
      </c>
      <c r="L11" s="53">
        <f>'B原料'!L11</f>
        <v>0</v>
      </c>
      <c r="M11" s="53">
        <f>'B原料'!M11</f>
        <v>0</v>
      </c>
      <c r="N11" s="53">
        <f>'B原料'!N11+'P原料'!N11</f>
        <v>0</v>
      </c>
      <c r="O11" s="53">
        <f>'B原料'!O11+'P原料'!O11</f>
        <v>0</v>
      </c>
      <c r="P11" s="62">
        <f>'B原料'!P11+'P原料'!P11</f>
        <v>0</v>
      </c>
      <c r="Q11" s="70">
        <f>SUM(K11:P11)</f>
        <v>548137</v>
      </c>
      <c r="R11" s="66">
        <f>Q11+J11</f>
        <v>548137</v>
      </c>
      <c r="S11" s="16"/>
    </row>
    <row r="12" spans="1:19" s="17" customFormat="1" ht="16.5" customHeight="1" thickBot="1">
      <c r="A12" s="103"/>
      <c r="B12" s="18" t="s">
        <v>42</v>
      </c>
      <c r="C12" s="35" t="s">
        <v>3</v>
      </c>
      <c r="D12" s="57">
        <f>IF(D10=0,,D11/D10*1000)</f>
        <v>0</v>
      </c>
      <c r="E12" s="52">
        <f>IF(E10=0,,E11/E10*1000)</f>
        <v>0</v>
      </c>
      <c r="F12" s="52">
        <f>IF(F10=0,,F11/F10*1000)</f>
        <v>0</v>
      </c>
      <c r="G12" s="52">
        <f aca="true" t="shared" si="2" ref="G12:R12">IF(G10=0,,G11/G10*1000)</f>
        <v>0</v>
      </c>
      <c r="H12" s="52">
        <f t="shared" si="2"/>
        <v>0</v>
      </c>
      <c r="I12" s="61">
        <f t="shared" si="2"/>
        <v>0</v>
      </c>
      <c r="J12" s="69">
        <f t="shared" si="2"/>
        <v>0</v>
      </c>
      <c r="K12" s="65">
        <f t="shared" si="2"/>
        <v>64154.61142322097</v>
      </c>
      <c r="L12" s="52">
        <f t="shared" si="2"/>
        <v>0</v>
      </c>
      <c r="M12" s="52">
        <f t="shared" si="2"/>
        <v>0</v>
      </c>
      <c r="N12" s="52">
        <f t="shared" si="2"/>
        <v>0</v>
      </c>
      <c r="O12" s="52">
        <f t="shared" si="2"/>
        <v>0</v>
      </c>
      <c r="P12" s="61">
        <f t="shared" si="2"/>
        <v>0</v>
      </c>
      <c r="Q12" s="69">
        <f t="shared" si="2"/>
        <v>64154.61142322097</v>
      </c>
      <c r="R12" s="65">
        <f t="shared" si="2"/>
        <v>64154.61142322097</v>
      </c>
      <c r="S12" s="16"/>
    </row>
    <row r="13" spans="1:19" s="17" customFormat="1" ht="16.5" customHeight="1">
      <c r="A13" s="101" t="s">
        <v>94</v>
      </c>
      <c r="B13" s="30" t="s">
        <v>9</v>
      </c>
      <c r="C13" s="34" t="s">
        <v>1</v>
      </c>
      <c r="D13" s="56">
        <f>'B原料'!D13</f>
        <v>10319</v>
      </c>
      <c r="E13" s="51">
        <f>'B原料'!E13</f>
        <v>0</v>
      </c>
      <c r="F13" s="51">
        <f>'B原料'!F13</f>
        <v>0</v>
      </c>
      <c r="G13" s="51">
        <f>'B原料'!G13</f>
        <v>0</v>
      </c>
      <c r="H13" s="51">
        <f>'B原料'!H13</f>
        <v>0</v>
      </c>
      <c r="I13" s="60">
        <f>'B原料'!I13</f>
        <v>0</v>
      </c>
      <c r="J13" s="68">
        <f>'B原料'!J13</f>
        <v>10319</v>
      </c>
      <c r="K13" s="64">
        <f>'B原料'!K13</f>
        <v>0</v>
      </c>
      <c r="L13" s="51">
        <f>'B原料'!L13</f>
        <v>0</v>
      </c>
      <c r="M13" s="51">
        <f>'B原料'!M13</f>
        <v>1420</v>
      </c>
      <c r="N13" s="51">
        <f>'B原料'!N13+'P原料'!N13</f>
        <v>0</v>
      </c>
      <c r="O13" s="51">
        <f>'B原料'!O13+'P原料'!O13</f>
        <v>0</v>
      </c>
      <c r="P13" s="60">
        <f>'B原料'!P13+'P原料'!P13</f>
        <v>0</v>
      </c>
      <c r="Q13" s="68">
        <f>SUM(K13:P13)</f>
        <v>1420</v>
      </c>
      <c r="R13" s="64">
        <f>Q13+J13</f>
        <v>11739</v>
      </c>
      <c r="S13" s="16"/>
    </row>
    <row r="14" spans="1:19" s="17" customFormat="1" ht="16.5" customHeight="1">
      <c r="A14" s="102"/>
      <c r="B14" s="30" t="s">
        <v>10</v>
      </c>
      <c r="C14" s="34" t="s">
        <v>2</v>
      </c>
      <c r="D14" s="58">
        <f>'B原料'!D14</f>
        <v>462163</v>
      </c>
      <c r="E14" s="53">
        <f>'B原料'!E14</f>
        <v>0</v>
      </c>
      <c r="F14" s="53">
        <f>'B原料'!F14</f>
        <v>0</v>
      </c>
      <c r="G14" s="53">
        <f>'B原料'!G14</f>
        <v>0</v>
      </c>
      <c r="H14" s="53">
        <f>'B原料'!H14</f>
        <v>0</v>
      </c>
      <c r="I14" s="62">
        <f>'B原料'!I14</f>
        <v>0</v>
      </c>
      <c r="J14" s="70">
        <f>'B原料'!J14</f>
        <v>462163</v>
      </c>
      <c r="K14" s="66">
        <f>'B原料'!K14</f>
        <v>0</v>
      </c>
      <c r="L14" s="53">
        <f>'B原料'!L14</f>
        <v>0</v>
      </c>
      <c r="M14" s="53">
        <f>'B原料'!M14</f>
        <v>89930</v>
      </c>
      <c r="N14" s="53">
        <f>'B原料'!N14+'P原料'!N14</f>
        <v>0</v>
      </c>
      <c r="O14" s="53">
        <f>'B原料'!O14+'P原料'!O14</f>
        <v>0</v>
      </c>
      <c r="P14" s="62">
        <f>'B原料'!P14+'P原料'!P14</f>
        <v>0</v>
      </c>
      <c r="Q14" s="70">
        <f>SUM(K14:P14)</f>
        <v>89930</v>
      </c>
      <c r="R14" s="66">
        <f>Q14+J14</f>
        <v>552093</v>
      </c>
      <c r="S14" s="16"/>
    </row>
    <row r="15" spans="1:19" s="17" customFormat="1" ht="16.5" customHeight="1" thickBot="1">
      <c r="A15" s="103"/>
      <c r="B15" s="18" t="s">
        <v>42</v>
      </c>
      <c r="C15" s="35" t="s">
        <v>3</v>
      </c>
      <c r="D15" s="57">
        <f>IF(D13=0,,D14/D13*1000)</f>
        <v>44787.576315534454</v>
      </c>
      <c r="E15" s="52">
        <f>IF(E13=0,,E14/E13*1000)</f>
        <v>0</v>
      </c>
      <c r="F15" s="52">
        <f>IF(F13=0,,F14/F13*1000)</f>
        <v>0</v>
      </c>
      <c r="G15" s="52">
        <f aca="true" t="shared" si="3" ref="G15:R15">IF(G13=0,,G14/G13*1000)</f>
        <v>0</v>
      </c>
      <c r="H15" s="52">
        <f t="shared" si="3"/>
        <v>0</v>
      </c>
      <c r="I15" s="61">
        <f t="shared" si="3"/>
        <v>0</v>
      </c>
      <c r="J15" s="69">
        <f t="shared" si="3"/>
        <v>44787.576315534454</v>
      </c>
      <c r="K15" s="65">
        <f t="shared" si="3"/>
        <v>0</v>
      </c>
      <c r="L15" s="52">
        <f t="shared" si="3"/>
        <v>0</v>
      </c>
      <c r="M15" s="52">
        <f t="shared" si="3"/>
        <v>63330.98591549296</v>
      </c>
      <c r="N15" s="52">
        <f t="shared" si="3"/>
        <v>0</v>
      </c>
      <c r="O15" s="52">
        <f t="shared" si="3"/>
        <v>0</v>
      </c>
      <c r="P15" s="61">
        <f t="shared" si="3"/>
        <v>0</v>
      </c>
      <c r="Q15" s="69">
        <f t="shared" si="3"/>
        <v>63330.98591549296</v>
      </c>
      <c r="R15" s="65">
        <f t="shared" si="3"/>
        <v>47030.6670074112</v>
      </c>
      <c r="S15" s="16"/>
    </row>
    <row r="16" spans="1:19" s="17" customFormat="1" ht="16.5" customHeight="1">
      <c r="A16" s="101" t="s">
        <v>96</v>
      </c>
      <c r="B16" s="30" t="s">
        <v>9</v>
      </c>
      <c r="C16" s="34" t="s">
        <v>1</v>
      </c>
      <c r="D16" s="56">
        <f>'B原料'!D16</f>
        <v>32570</v>
      </c>
      <c r="E16" s="51">
        <f>'B原料'!E16</f>
        <v>75142</v>
      </c>
      <c r="F16" s="51">
        <f>'B原料'!F16</f>
        <v>47422</v>
      </c>
      <c r="G16" s="51">
        <f>'B原料'!G16</f>
        <v>9927</v>
      </c>
      <c r="H16" s="51">
        <f>'B原料'!H16</f>
        <v>13263</v>
      </c>
      <c r="I16" s="60">
        <f>'B原料'!I16</f>
        <v>57766</v>
      </c>
      <c r="J16" s="68">
        <f>'B原料'!J16</f>
        <v>236090</v>
      </c>
      <c r="K16" s="64">
        <f>'B原料'!K16</f>
        <v>32349</v>
      </c>
      <c r="L16" s="51">
        <f>'B原料'!L16</f>
        <v>0</v>
      </c>
      <c r="M16" s="51">
        <f>'B原料'!M16</f>
        <v>0</v>
      </c>
      <c r="N16" s="51">
        <f>'B原料'!N16+'P原料'!N16</f>
        <v>8800</v>
      </c>
      <c r="O16" s="51">
        <f>'B原料'!O16+'P原料'!O16</f>
        <v>0</v>
      </c>
      <c r="P16" s="60">
        <f>'B原料'!P16+'P原料'!P16</f>
        <v>0</v>
      </c>
      <c r="Q16" s="68">
        <f>SUM(K16:P16)</f>
        <v>41149</v>
      </c>
      <c r="R16" s="64">
        <f>Q16+J16</f>
        <v>277239</v>
      </c>
      <c r="S16" s="16"/>
    </row>
    <row r="17" spans="1:19" s="17" customFormat="1" ht="16.5" customHeight="1">
      <c r="A17" s="102"/>
      <c r="B17" s="30" t="s">
        <v>10</v>
      </c>
      <c r="C17" s="34" t="s">
        <v>2</v>
      </c>
      <c r="D17" s="56">
        <f>'B原料'!D17</f>
        <v>1310775</v>
      </c>
      <c r="E17" s="51">
        <f>'B原料'!E17</f>
        <v>3146728</v>
      </c>
      <c r="F17" s="51">
        <f>'B原料'!F17</f>
        <v>2313037</v>
      </c>
      <c r="G17" s="51">
        <f>'B原料'!G17</f>
        <v>535376</v>
      </c>
      <c r="H17" s="51">
        <f>'B原料'!H17</f>
        <v>779247</v>
      </c>
      <c r="I17" s="60">
        <f>'B原料'!I17</f>
        <v>3094391</v>
      </c>
      <c r="J17" s="68">
        <f>'B原料'!J17</f>
        <v>11179554</v>
      </c>
      <c r="K17" s="64">
        <f>'B原料'!K17</f>
        <v>1763321</v>
      </c>
      <c r="L17" s="51">
        <f>'B原料'!L17</f>
        <v>0</v>
      </c>
      <c r="M17" s="51">
        <f>'B原料'!M17</f>
        <v>0</v>
      </c>
      <c r="N17" s="51">
        <f>'B原料'!N17+'P原料'!N17</f>
        <v>575255</v>
      </c>
      <c r="O17" s="51">
        <f>'B原料'!O17+'P原料'!O17</f>
        <v>0</v>
      </c>
      <c r="P17" s="60">
        <f>'B原料'!P17+'P原料'!P17</f>
        <v>0</v>
      </c>
      <c r="Q17" s="68">
        <f>SUM(K17:P17)</f>
        <v>2338576</v>
      </c>
      <c r="R17" s="64">
        <f>Q17+J17</f>
        <v>13518130</v>
      </c>
      <c r="S17" s="16"/>
    </row>
    <row r="18" spans="1:19" s="17" customFormat="1" ht="16.5" customHeight="1" thickBot="1">
      <c r="A18" s="103"/>
      <c r="B18" s="18" t="s">
        <v>42</v>
      </c>
      <c r="C18" s="35" t="s">
        <v>3</v>
      </c>
      <c r="D18" s="57">
        <f>IF(D16=0,,D17/D16*1000)</f>
        <v>40244.85723058029</v>
      </c>
      <c r="E18" s="52">
        <f>IF(E16=0,,E17/E16*1000)</f>
        <v>41877.08605041122</v>
      </c>
      <c r="F18" s="52">
        <f>IF(F16=0,,F17/F16*1000)</f>
        <v>48775.610476150316</v>
      </c>
      <c r="G18" s="52">
        <f aca="true" t="shared" si="4" ref="G18:R18">IF(G16=0,,G17/G16*1000)</f>
        <v>53931.29847889594</v>
      </c>
      <c r="H18" s="52">
        <f t="shared" si="4"/>
        <v>58753.449445826736</v>
      </c>
      <c r="I18" s="61">
        <f t="shared" si="4"/>
        <v>53567.686874632134</v>
      </c>
      <c r="J18" s="69">
        <f t="shared" si="4"/>
        <v>47352.93320343937</v>
      </c>
      <c r="K18" s="65">
        <f t="shared" si="4"/>
        <v>54509.289313425455</v>
      </c>
      <c r="L18" s="52">
        <f t="shared" si="4"/>
        <v>0</v>
      </c>
      <c r="M18" s="52">
        <f t="shared" si="4"/>
        <v>0</v>
      </c>
      <c r="N18" s="52">
        <f t="shared" si="4"/>
        <v>65369.88636363637</v>
      </c>
      <c r="O18" s="52">
        <f t="shared" si="4"/>
        <v>0</v>
      </c>
      <c r="P18" s="61">
        <f t="shared" si="4"/>
        <v>0</v>
      </c>
      <c r="Q18" s="69">
        <f t="shared" si="4"/>
        <v>56831.9035699531</v>
      </c>
      <c r="R18" s="65">
        <f t="shared" si="4"/>
        <v>48759.842590688895</v>
      </c>
      <c r="S18" s="16"/>
    </row>
    <row r="19" spans="1:19" s="17" customFormat="1" ht="16.5" customHeight="1">
      <c r="A19" s="110" t="s">
        <v>45</v>
      </c>
      <c r="B19" s="30" t="s">
        <v>9</v>
      </c>
      <c r="C19" s="34" t="s">
        <v>1</v>
      </c>
      <c r="D19" s="56">
        <f>'B原料'!D19</f>
        <v>20445</v>
      </c>
      <c r="E19" s="51">
        <f>'B原料'!E19</f>
        <v>22464</v>
      </c>
      <c r="F19" s="51">
        <f>'B原料'!F19</f>
        <v>49305</v>
      </c>
      <c r="G19" s="51">
        <f>'B原料'!G19</f>
        <v>30204</v>
      </c>
      <c r="H19" s="51">
        <f>'B原料'!H19</f>
        <v>22094</v>
      </c>
      <c r="I19" s="60">
        <f>'B原料'!I19</f>
        <v>40940</v>
      </c>
      <c r="J19" s="68">
        <f>'B原料'!J19</f>
        <v>185452</v>
      </c>
      <c r="K19" s="64">
        <f>'B原料'!K19</f>
        <v>10551</v>
      </c>
      <c r="L19" s="51">
        <f>'B原料'!L19</f>
        <v>12988</v>
      </c>
      <c r="M19" s="51">
        <f>'B原料'!M19</f>
        <v>9575</v>
      </c>
      <c r="N19" s="51">
        <f>'B原料'!N19+'P原料'!N19</f>
        <v>8500</v>
      </c>
      <c r="O19" s="51">
        <f>'B原料'!O19+'P原料'!O19</f>
        <v>2369</v>
      </c>
      <c r="P19" s="60">
        <f>'B原料'!P19+'P原料'!P19</f>
        <v>32263</v>
      </c>
      <c r="Q19" s="68">
        <f>SUM(K19:P19)</f>
        <v>76246</v>
      </c>
      <c r="R19" s="64">
        <f>Q19+J19</f>
        <v>261698</v>
      </c>
      <c r="S19" s="16"/>
    </row>
    <row r="20" spans="1:19" s="17" customFormat="1" ht="16.5" customHeight="1">
      <c r="A20" s="111"/>
      <c r="B20" s="30" t="s">
        <v>10</v>
      </c>
      <c r="C20" s="34" t="s">
        <v>2</v>
      </c>
      <c r="D20" s="56">
        <f>'B原料'!D20</f>
        <v>897754</v>
      </c>
      <c r="E20" s="51">
        <f>'B原料'!E20</f>
        <v>1011877</v>
      </c>
      <c r="F20" s="51">
        <f>'B原料'!F20</f>
        <v>2605254</v>
      </c>
      <c r="G20" s="51">
        <f>'B原料'!G20</f>
        <v>1619645</v>
      </c>
      <c r="H20" s="51">
        <f>'B原料'!H20</f>
        <v>1216318</v>
      </c>
      <c r="I20" s="60">
        <f>'B原料'!I20</f>
        <v>2155578</v>
      </c>
      <c r="J20" s="68">
        <f>'B原料'!J20</f>
        <v>9506426</v>
      </c>
      <c r="K20" s="64">
        <f>'B原料'!K20</f>
        <v>564539</v>
      </c>
      <c r="L20" s="51">
        <f>'B原料'!L20</f>
        <v>732982</v>
      </c>
      <c r="M20" s="51">
        <f>'B原料'!M20</f>
        <v>574494</v>
      </c>
      <c r="N20" s="51">
        <f>'B原料'!N20+'P原料'!N20</f>
        <v>525394</v>
      </c>
      <c r="O20" s="51">
        <f>'B原料'!O20+'P原料'!O20</f>
        <v>149392</v>
      </c>
      <c r="P20" s="60">
        <f>'B原料'!P20+'P原料'!P20</f>
        <v>2284151</v>
      </c>
      <c r="Q20" s="68">
        <f>SUM(K20:P20)</f>
        <v>4830952</v>
      </c>
      <c r="R20" s="64">
        <f>Q20+J20</f>
        <v>14337378</v>
      </c>
      <c r="S20" s="16"/>
    </row>
    <row r="21" spans="1:19" s="17" customFormat="1" ht="16.5" customHeight="1" thickBot="1">
      <c r="A21" s="112"/>
      <c r="B21" s="18" t="s">
        <v>42</v>
      </c>
      <c r="C21" s="35" t="s">
        <v>3</v>
      </c>
      <c r="D21" s="57">
        <f>IF(D19=0,,D20/D19*1000)</f>
        <v>43910.6872095867</v>
      </c>
      <c r="E21" s="52">
        <f>IF(E19=0,,E20/E19*1000)</f>
        <v>45044.38212250712</v>
      </c>
      <c r="F21" s="52">
        <f>IF(F19=0,,F20/F19*1000)</f>
        <v>52839.549741405535</v>
      </c>
      <c r="G21" s="52">
        <f aca="true" t="shared" si="5" ref="G21:R21">IF(G19=0,,G20/G19*1000)</f>
        <v>53623.52668520726</v>
      </c>
      <c r="H21" s="52">
        <f t="shared" si="5"/>
        <v>55051.959808092695</v>
      </c>
      <c r="I21" s="61">
        <f t="shared" si="5"/>
        <v>52652.12506106497</v>
      </c>
      <c r="J21" s="69">
        <f t="shared" si="5"/>
        <v>51260.843776287125</v>
      </c>
      <c r="K21" s="65">
        <f t="shared" si="5"/>
        <v>53505.734053644206</v>
      </c>
      <c r="L21" s="52">
        <f t="shared" si="5"/>
        <v>56435.32491530644</v>
      </c>
      <c r="M21" s="52">
        <f t="shared" si="5"/>
        <v>59999.37336814622</v>
      </c>
      <c r="N21" s="52">
        <f t="shared" si="5"/>
        <v>61811.05882352941</v>
      </c>
      <c r="O21" s="52">
        <f t="shared" si="5"/>
        <v>63061.207260447445</v>
      </c>
      <c r="P21" s="61">
        <f t="shared" si="5"/>
        <v>70797.84892911384</v>
      </c>
      <c r="Q21" s="69">
        <f t="shared" si="5"/>
        <v>63360.07134800514</v>
      </c>
      <c r="R21" s="65">
        <f t="shared" si="5"/>
        <v>54785.96703069951</v>
      </c>
      <c r="S21" s="16"/>
    </row>
    <row r="22" spans="1:19" s="17" customFormat="1" ht="16.5" customHeight="1">
      <c r="A22" s="101" t="s">
        <v>53</v>
      </c>
      <c r="B22" s="30" t="s">
        <v>9</v>
      </c>
      <c r="C22" s="34" t="s">
        <v>1</v>
      </c>
      <c r="D22" s="56">
        <f>'B原料'!D22</f>
        <v>21833</v>
      </c>
      <c r="E22" s="51">
        <f>'B原料'!E22</f>
        <v>11472</v>
      </c>
      <c r="F22" s="51">
        <f>'B原料'!F22</f>
        <v>0</v>
      </c>
      <c r="G22" s="51">
        <f>'B原料'!G22</f>
        <v>17012</v>
      </c>
      <c r="H22" s="51">
        <f>'B原料'!H22</f>
        <v>29914</v>
      </c>
      <c r="I22" s="60">
        <f>'B原料'!I22</f>
        <v>17904</v>
      </c>
      <c r="J22" s="68">
        <f>'B原料'!J22</f>
        <v>98135</v>
      </c>
      <c r="K22" s="64">
        <f>'B原料'!K22</f>
        <v>25713</v>
      </c>
      <c r="L22" s="51">
        <f>'B原料'!L22</f>
        <v>20445</v>
      </c>
      <c r="M22" s="51">
        <f>'B原料'!M22</f>
        <v>22808</v>
      </c>
      <c r="N22" s="51">
        <f>'B原料'!N22+'P原料'!N22</f>
        <v>19650</v>
      </c>
      <c r="O22" s="51">
        <f>'B原料'!O22+'P原料'!O22</f>
        <v>0</v>
      </c>
      <c r="P22" s="60">
        <f>'B原料'!P22+'P原料'!P22</f>
        <v>0</v>
      </c>
      <c r="Q22" s="68">
        <f>SUM(K22:P22)</f>
        <v>88616</v>
      </c>
      <c r="R22" s="64">
        <f>Q22+J22</f>
        <v>186751</v>
      </c>
      <c r="S22" s="16"/>
    </row>
    <row r="23" spans="1:19" s="17" customFormat="1" ht="16.5" customHeight="1">
      <c r="A23" s="102"/>
      <c r="B23" s="30" t="s">
        <v>10</v>
      </c>
      <c r="C23" s="34" t="s">
        <v>2</v>
      </c>
      <c r="D23" s="56">
        <f>'B原料'!D23</f>
        <v>952216</v>
      </c>
      <c r="E23" s="51">
        <f>'B原料'!E23</f>
        <v>562869</v>
      </c>
      <c r="F23" s="51">
        <f>'B原料'!F23</f>
        <v>0</v>
      </c>
      <c r="G23" s="51">
        <f>'B原料'!G23</f>
        <v>870731</v>
      </c>
      <c r="H23" s="51">
        <f>'B原料'!H23</f>
        <v>1629438</v>
      </c>
      <c r="I23" s="60">
        <f>'B原料'!I23</f>
        <v>997446</v>
      </c>
      <c r="J23" s="68">
        <f>'B原料'!J23</f>
        <v>5012700</v>
      </c>
      <c r="K23" s="64">
        <f>'B原料'!K23</f>
        <v>1374122</v>
      </c>
      <c r="L23" s="51">
        <f>'B原料'!L23</f>
        <v>1030608</v>
      </c>
      <c r="M23" s="51">
        <f>'B原料'!M23</f>
        <v>1378150</v>
      </c>
      <c r="N23" s="51">
        <f>'B原料'!N23+'P原料'!N23</f>
        <v>1225656</v>
      </c>
      <c r="O23" s="51">
        <f>'B原料'!O23+'P原料'!O23</f>
        <v>0</v>
      </c>
      <c r="P23" s="60">
        <f>'B原料'!P23+'P原料'!P23</f>
        <v>0</v>
      </c>
      <c r="Q23" s="68">
        <f>SUM(K23:P23)</f>
        <v>5008536</v>
      </c>
      <c r="R23" s="64">
        <f>Q23+J23</f>
        <v>10021236</v>
      </c>
      <c r="S23" s="16"/>
    </row>
    <row r="24" spans="1:19" s="17" customFormat="1" ht="16.5" customHeight="1" thickBot="1">
      <c r="A24" s="103"/>
      <c r="B24" s="18" t="s">
        <v>42</v>
      </c>
      <c r="C24" s="35" t="s">
        <v>3</v>
      </c>
      <c r="D24" s="57">
        <f>IF(D22=0,,D23/D22*1000)</f>
        <v>43613.61242156369</v>
      </c>
      <c r="E24" s="52">
        <f>IF(E22=0,,E23/E22*1000)</f>
        <v>49064.592050209205</v>
      </c>
      <c r="F24" s="52">
        <f>IF(F22=0,,F23/F22*1000)</f>
        <v>0</v>
      </c>
      <c r="G24" s="52">
        <f aca="true" t="shared" si="6" ref="G24:R24">IF(G22=0,,G23/G22*1000)</f>
        <v>51183.34117093816</v>
      </c>
      <c r="H24" s="52">
        <f t="shared" si="6"/>
        <v>54470.74948184797</v>
      </c>
      <c r="I24" s="61">
        <f t="shared" si="6"/>
        <v>55710.790884718495</v>
      </c>
      <c r="J24" s="69">
        <f t="shared" si="6"/>
        <v>51079.63519641311</v>
      </c>
      <c r="K24" s="65">
        <f t="shared" si="6"/>
        <v>53440.74981526854</v>
      </c>
      <c r="L24" s="52">
        <f t="shared" si="6"/>
        <v>50408.80410858401</v>
      </c>
      <c r="M24" s="52">
        <f t="shared" si="6"/>
        <v>60423.97404419502</v>
      </c>
      <c r="N24" s="52">
        <f t="shared" si="6"/>
        <v>62374.35114503817</v>
      </c>
      <c r="O24" s="52">
        <f t="shared" si="6"/>
        <v>0</v>
      </c>
      <c r="P24" s="61">
        <f t="shared" si="6"/>
        <v>0</v>
      </c>
      <c r="Q24" s="69">
        <f t="shared" si="6"/>
        <v>56519.5450031597</v>
      </c>
      <c r="R24" s="65">
        <f t="shared" si="6"/>
        <v>53660.94960669555</v>
      </c>
      <c r="S24" s="16"/>
    </row>
    <row r="25" spans="1:19" s="17" customFormat="1" ht="16.5" customHeight="1">
      <c r="A25" s="101" t="s">
        <v>54</v>
      </c>
      <c r="B25" s="30" t="s">
        <v>9</v>
      </c>
      <c r="C25" s="34" t="s">
        <v>1</v>
      </c>
      <c r="D25" s="56">
        <f>'B原料'!D25</f>
        <v>0</v>
      </c>
      <c r="E25" s="51">
        <f>'B原料'!E25</f>
        <v>0</v>
      </c>
      <c r="F25" s="51">
        <f>'B原料'!F25</f>
        <v>0</v>
      </c>
      <c r="G25" s="51">
        <f>'B原料'!G25</f>
        <v>0</v>
      </c>
      <c r="H25" s="51">
        <f>'B原料'!H25</f>
        <v>0</v>
      </c>
      <c r="I25" s="60">
        <f>'B原料'!I25</f>
        <v>0</v>
      </c>
      <c r="J25" s="68">
        <f>'B原料'!J25</f>
        <v>0</v>
      </c>
      <c r="K25" s="64">
        <f>'B原料'!K25</f>
        <v>0</v>
      </c>
      <c r="L25" s="51">
        <f>'B原料'!L25</f>
        <v>0</v>
      </c>
      <c r="M25" s="51">
        <f>'B原料'!M25</f>
        <v>0</v>
      </c>
      <c r="N25" s="51">
        <f>'B原料'!N25+'P原料'!N25</f>
        <v>0</v>
      </c>
      <c r="O25" s="51">
        <f>'B原料'!O25+'P原料'!O25</f>
        <v>0</v>
      </c>
      <c r="P25" s="60">
        <f>'B原料'!P25+'P原料'!P25</f>
        <v>0</v>
      </c>
      <c r="Q25" s="68">
        <f>SUM(K25:P25)</f>
        <v>0</v>
      </c>
      <c r="R25" s="64">
        <f>Q25+J25</f>
        <v>0</v>
      </c>
      <c r="S25" s="16"/>
    </row>
    <row r="26" spans="1:19" s="17" customFormat="1" ht="16.5" customHeight="1">
      <c r="A26" s="102"/>
      <c r="B26" s="30" t="s">
        <v>10</v>
      </c>
      <c r="C26" s="34" t="s">
        <v>2</v>
      </c>
      <c r="D26" s="56">
        <f>'B原料'!D26</f>
        <v>0</v>
      </c>
      <c r="E26" s="51">
        <f>'B原料'!E26</f>
        <v>0</v>
      </c>
      <c r="F26" s="51">
        <f>'B原料'!F26</f>
        <v>0</v>
      </c>
      <c r="G26" s="51">
        <f>'B原料'!G26</f>
        <v>0</v>
      </c>
      <c r="H26" s="51">
        <f>'B原料'!H26</f>
        <v>0</v>
      </c>
      <c r="I26" s="60">
        <f>'B原料'!I26</f>
        <v>0</v>
      </c>
      <c r="J26" s="68">
        <f>'B原料'!J26</f>
        <v>0</v>
      </c>
      <c r="K26" s="64">
        <f>'B原料'!K26</f>
        <v>0</v>
      </c>
      <c r="L26" s="51">
        <f>'B原料'!L26</f>
        <v>0</v>
      </c>
      <c r="M26" s="51">
        <f>'B原料'!M26</f>
        <v>0</v>
      </c>
      <c r="N26" s="51">
        <f>'B原料'!N26+'P原料'!N26</f>
        <v>0</v>
      </c>
      <c r="O26" s="51">
        <f>'B原料'!O26+'P原料'!O26</f>
        <v>0</v>
      </c>
      <c r="P26" s="60">
        <f>'B原料'!P26+'P原料'!P26</f>
        <v>0</v>
      </c>
      <c r="Q26" s="68">
        <f>SUM(K26:P26)</f>
        <v>0</v>
      </c>
      <c r="R26" s="64">
        <f>Q26+J26</f>
        <v>0</v>
      </c>
      <c r="S26" s="16"/>
    </row>
    <row r="27" spans="1:19" s="17" customFormat="1" ht="16.5" customHeight="1" thickBot="1">
      <c r="A27" s="103"/>
      <c r="B27" s="18" t="s">
        <v>42</v>
      </c>
      <c r="C27" s="35" t="s">
        <v>3</v>
      </c>
      <c r="D27" s="57">
        <f>IF(D25=0,,D26/D25*1000)</f>
        <v>0</v>
      </c>
      <c r="E27" s="52">
        <f>IF(E25=0,,E26/E25*1000)</f>
        <v>0</v>
      </c>
      <c r="F27" s="52">
        <f>IF(F25=0,,F26/F25*1000)</f>
        <v>0</v>
      </c>
      <c r="G27" s="52">
        <f aca="true" t="shared" si="7" ref="G27:R27">IF(G25=0,,G26/G25*1000)</f>
        <v>0</v>
      </c>
      <c r="H27" s="52">
        <f t="shared" si="7"/>
        <v>0</v>
      </c>
      <c r="I27" s="61">
        <f t="shared" si="7"/>
        <v>0</v>
      </c>
      <c r="J27" s="69">
        <f t="shared" si="7"/>
        <v>0</v>
      </c>
      <c r="K27" s="65">
        <f t="shared" si="7"/>
        <v>0</v>
      </c>
      <c r="L27" s="52">
        <f t="shared" si="7"/>
        <v>0</v>
      </c>
      <c r="M27" s="52">
        <f t="shared" si="7"/>
        <v>0</v>
      </c>
      <c r="N27" s="52">
        <f t="shared" si="7"/>
        <v>0</v>
      </c>
      <c r="O27" s="52">
        <f t="shared" si="7"/>
        <v>0</v>
      </c>
      <c r="P27" s="61">
        <f t="shared" si="7"/>
        <v>0</v>
      </c>
      <c r="Q27" s="69">
        <f t="shared" si="7"/>
        <v>0</v>
      </c>
      <c r="R27" s="65">
        <f t="shared" si="7"/>
        <v>0</v>
      </c>
      <c r="S27" s="16"/>
    </row>
    <row r="28" spans="1:19" s="17" customFormat="1" ht="16.5" customHeight="1">
      <c r="A28" s="101" t="s">
        <v>11</v>
      </c>
      <c r="B28" s="30" t="s">
        <v>9</v>
      </c>
      <c r="C28" s="34" t="s">
        <v>1</v>
      </c>
      <c r="D28" s="56">
        <f>'B原料'!D28</f>
        <v>0</v>
      </c>
      <c r="E28" s="51">
        <f>'B原料'!E28</f>
        <v>0</v>
      </c>
      <c r="F28" s="51">
        <f>'B原料'!F28</f>
        <v>0</v>
      </c>
      <c r="G28" s="51">
        <f>'B原料'!G28</f>
        <v>0</v>
      </c>
      <c r="H28" s="51">
        <f>'B原料'!H28</f>
        <v>0</v>
      </c>
      <c r="I28" s="60">
        <f>'B原料'!I28</f>
        <v>0</v>
      </c>
      <c r="J28" s="68">
        <f>'B原料'!J28</f>
        <v>0</v>
      </c>
      <c r="K28" s="64">
        <f>'B原料'!K28</f>
        <v>0</v>
      </c>
      <c r="L28" s="51">
        <f>'B原料'!L28</f>
        <v>0</v>
      </c>
      <c r="M28" s="51">
        <f>'B原料'!M28</f>
        <v>0</v>
      </c>
      <c r="N28" s="51">
        <f>'B原料'!N28+'P原料'!N28</f>
        <v>0</v>
      </c>
      <c r="O28" s="51">
        <f>'B原料'!O28+'P原料'!O28</f>
        <v>0</v>
      </c>
      <c r="P28" s="60">
        <f>'B原料'!P28+'P原料'!P28</f>
        <v>0</v>
      </c>
      <c r="Q28" s="68">
        <f>SUM(K28:P28)</f>
        <v>0</v>
      </c>
      <c r="R28" s="64">
        <f>Q28+J28</f>
        <v>0</v>
      </c>
      <c r="S28" s="16"/>
    </row>
    <row r="29" spans="1:19" s="17" customFormat="1" ht="16.5" customHeight="1">
      <c r="A29" s="102"/>
      <c r="B29" s="30" t="s">
        <v>10</v>
      </c>
      <c r="C29" s="34" t="s">
        <v>2</v>
      </c>
      <c r="D29" s="56">
        <f>'B原料'!D29</f>
        <v>0</v>
      </c>
      <c r="E29" s="51">
        <f>'B原料'!E29</f>
        <v>0</v>
      </c>
      <c r="F29" s="51">
        <f>'B原料'!F29</f>
        <v>0</v>
      </c>
      <c r="G29" s="51">
        <f>'B原料'!G29</f>
        <v>0</v>
      </c>
      <c r="H29" s="51">
        <f>'B原料'!H29</f>
        <v>0</v>
      </c>
      <c r="I29" s="60">
        <f>'B原料'!I29</f>
        <v>0</v>
      </c>
      <c r="J29" s="68">
        <f>'B原料'!J29</f>
        <v>0</v>
      </c>
      <c r="K29" s="64">
        <f>'B原料'!K29</f>
        <v>0</v>
      </c>
      <c r="L29" s="51">
        <f>'B原料'!L29</f>
        <v>0</v>
      </c>
      <c r="M29" s="51">
        <f>'B原料'!M29</f>
        <v>0</v>
      </c>
      <c r="N29" s="51">
        <f>'B原料'!N29+'P原料'!N29</f>
        <v>0</v>
      </c>
      <c r="O29" s="51">
        <f>'B原料'!O29+'P原料'!O29</f>
        <v>0</v>
      </c>
      <c r="P29" s="60">
        <f>'B原料'!P29+'P原料'!P29</f>
        <v>0</v>
      </c>
      <c r="Q29" s="68">
        <f>SUM(K29:P29)</f>
        <v>0</v>
      </c>
      <c r="R29" s="64">
        <f>Q29+J29</f>
        <v>0</v>
      </c>
      <c r="S29" s="16"/>
    </row>
    <row r="30" spans="1:19" s="17" customFormat="1" ht="16.5" customHeight="1" thickBot="1">
      <c r="A30" s="103"/>
      <c r="B30" s="18" t="s">
        <v>42</v>
      </c>
      <c r="C30" s="35" t="s">
        <v>3</v>
      </c>
      <c r="D30" s="57">
        <f>IF(D28=0,,D29/D28*1000)</f>
        <v>0</v>
      </c>
      <c r="E30" s="52">
        <f>IF(E28=0,,E29/E28*1000)</f>
        <v>0</v>
      </c>
      <c r="F30" s="52">
        <f>IF(F28=0,,F29/F28*1000)</f>
        <v>0</v>
      </c>
      <c r="G30" s="52">
        <f aca="true" t="shared" si="8" ref="G30:R30">IF(G28=0,,G29/G28*1000)</f>
        <v>0</v>
      </c>
      <c r="H30" s="52">
        <f t="shared" si="8"/>
        <v>0</v>
      </c>
      <c r="I30" s="61">
        <f t="shared" si="8"/>
        <v>0</v>
      </c>
      <c r="J30" s="69">
        <f t="shared" si="8"/>
        <v>0</v>
      </c>
      <c r="K30" s="65">
        <f t="shared" si="8"/>
        <v>0</v>
      </c>
      <c r="L30" s="52">
        <f t="shared" si="8"/>
        <v>0</v>
      </c>
      <c r="M30" s="52">
        <f t="shared" si="8"/>
        <v>0</v>
      </c>
      <c r="N30" s="52">
        <f t="shared" si="8"/>
        <v>0</v>
      </c>
      <c r="O30" s="52">
        <f t="shared" si="8"/>
        <v>0</v>
      </c>
      <c r="P30" s="61">
        <f t="shared" si="8"/>
        <v>0</v>
      </c>
      <c r="Q30" s="69">
        <f t="shared" si="8"/>
        <v>0</v>
      </c>
      <c r="R30" s="65">
        <f t="shared" si="8"/>
        <v>0</v>
      </c>
      <c r="S30" s="16"/>
    </row>
    <row r="31" spans="1:19" s="17" customFormat="1" ht="16.5" customHeight="1">
      <c r="A31" s="101" t="s">
        <v>55</v>
      </c>
      <c r="B31" s="30" t="s">
        <v>9</v>
      </c>
      <c r="C31" s="34" t="s">
        <v>1</v>
      </c>
      <c r="D31" s="56">
        <f>'B原料'!D31</f>
        <v>0</v>
      </c>
      <c r="E31" s="51">
        <f>'B原料'!E31</f>
        <v>0</v>
      </c>
      <c r="F31" s="51">
        <f>'B原料'!F31</f>
        <v>0</v>
      </c>
      <c r="G31" s="51">
        <f>'B原料'!G31</f>
        <v>0</v>
      </c>
      <c r="H31" s="51">
        <f>'B原料'!H31</f>
        <v>0</v>
      </c>
      <c r="I31" s="60">
        <f>'B原料'!I31</f>
        <v>0</v>
      </c>
      <c r="J31" s="68">
        <f>'B原料'!J31</f>
        <v>0</v>
      </c>
      <c r="K31" s="64">
        <f>'B原料'!K31</f>
        <v>0</v>
      </c>
      <c r="L31" s="51">
        <f>'B原料'!L31</f>
        <v>0</v>
      </c>
      <c r="M31" s="51">
        <f>'B原料'!M31</f>
        <v>0</v>
      </c>
      <c r="N31" s="51">
        <f>'B原料'!N31+'P原料'!N31</f>
        <v>0</v>
      </c>
      <c r="O31" s="51">
        <f>'B原料'!O31+'P原料'!O31</f>
        <v>0</v>
      </c>
      <c r="P31" s="60">
        <f>'B原料'!P31+'P原料'!P31</f>
        <v>0</v>
      </c>
      <c r="Q31" s="68">
        <f>SUM(K31:P31)</f>
        <v>0</v>
      </c>
      <c r="R31" s="64">
        <f>Q31+J31</f>
        <v>0</v>
      </c>
      <c r="S31" s="16"/>
    </row>
    <row r="32" spans="1:19" s="17" customFormat="1" ht="16.5" customHeight="1">
      <c r="A32" s="102"/>
      <c r="B32" s="30" t="s">
        <v>10</v>
      </c>
      <c r="C32" s="34" t="s">
        <v>2</v>
      </c>
      <c r="D32" s="58">
        <f>'B原料'!D32</f>
        <v>0</v>
      </c>
      <c r="E32" s="53">
        <f>'B原料'!E32</f>
        <v>0</v>
      </c>
      <c r="F32" s="53">
        <f>'B原料'!F32</f>
        <v>0</v>
      </c>
      <c r="G32" s="53">
        <f>'B原料'!G32</f>
        <v>0</v>
      </c>
      <c r="H32" s="53">
        <f>'B原料'!H32</f>
        <v>0</v>
      </c>
      <c r="I32" s="62">
        <f>'B原料'!I32</f>
        <v>0</v>
      </c>
      <c r="J32" s="70">
        <f>'B原料'!J32</f>
        <v>0</v>
      </c>
      <c r="K32" s="66">
        <f>'B原料'!K32</f>
        <v>0</v>
      </c>
      <c r="L32" s="53">
        <f>'B原料'!L32</f>
        <v>0</v>
      </c>
      <c r="M32" s="53">
        <f>'B原料'!M32</f>
        <v>0</v>
      </c>
      <c r="N32" s="53">
        <f>'B原料'!N32+'P原料'!N32</f>
        <v>0</v>
      </c>
      <c r="O32" s="53">
        <f>'B原料'!O32+'P原料'!O32</f>
        <v>0</v>
      </c>
      <c r="P32" s="62">
        <f>'B原料'!P32+'P原料'!P32</f>
        <v>0</v>
      </c>
      <c r="Q32" s="70">
        <f>SUM(K32:P32)</f>
        <v>0</v>
      </c>
      <c r="R32" s="66">
        <f>Q32+J32</f>
        <v>0</v>
      </c>
      <c r="S32" s="16"/>
    </row>
    <row r="33" spans="1:19" s="17" customFormat="1" ht="16.5" customHeight="1" thickBot="1">
      <c r="A33" s="103"/>
      <c r="B33" s="18" t="s">
        <v>42</v>
      </c>
      <c r="C33" s="35" t="s">
        <v>3</v>
      </c>
      <c r="D33" s="57">
        <f>IF(D31=0,,D32/D31*1000)</f>
        <v>0</v>
      </c>
      <c r="E33" s="52">
        <f>IF(E31=0,,E32/E31*1000)</f>
        <v>0</v>
      </c>
      <c r="F33" s="52">
        <f>IF(F31=0,,F32/F31*1000)</f>
        <v>0</v>
      </c>
      <c r="G33" s="52">
        <f aca="true" t="shared" si="9" ref="G33:R33">IF(G31=0,,G32/G31*1000)</f>
        <v>0</v>
      </c>
      <c r="H33" s="52">
        <f t="shared" si="9"/>
        <v>0</v>
      </c>
      <c r="I33" s="61">
        <f t="shared" si="9"/>
        <v>0</v>
      </c>
      <c r="J33" s="69">
        <f t="shared" si="9"/>
        <v>0</v>
      </c>
      <c r="K33" s="65">
        <f t="shared" si="9"/>
        <v>0</v>
      </c>
      <c r="L33" s="52">
        <f t="shared" si="9"/>
        <v>0</v>
      </c>
      <c r="M33" s="52">
        <f t="shared" si="9"/>
        <v>0</v>
      </c>
      <c r="N33" s="52">
        <f t="shared" si="9"/>
        <v>0</v>
      </c>
      <c r="O33" s="52">
        <f t="shared" si="9"/>
        <v>0</v>
      </c>
      <c r="P33" s="61">
        <f t="shared" si="9"/>
        <v>0</v>
      </c>
      <c r="Q33" s="69">
        <f t="shared" si="9"/>
        <v>0</v>
      </c>
      <c r="R33" s="65">
        <f t="shared" si="9"/>
        <v>0</v>
      </c>
      <c r="S33" s="16"/>
    </row>
    <row r="34" spans="1:19" s="17" customFormat="1" ht="16.5" customHeight="1">
      <c r="A34" s="101" t="s">
        <v>56</v>
      </c>
      <c r="B34" s="30" t="s">
        <v>9</v>
      </c>
      <c r="C34" s="34" t="s">
        <v>1</v>
      </c>
      <c r="D34" s="56">
        <f>'B原料'!D34</f>
        <v>0</v>
      </c>
      <c r="E34" s="51">
        <f>'B原料'!E34</f>
        <v>0</v>
      </c>
      <c r="F34" s="51">
        <f>'B原料'!F34</f>
        <v>0</v>
      </c>
      <c r="G34" s="51">
        <f>'B原料'!G34</f>
        <v>0</v>
      </c>
      <c r="H34" s="51">
        <f>'B原料'!H34</f>
        <v>0</v>
      </c>
      <c r="I34" s="60">
        <f>'B原料'!I34</f>
        <v>0</v>
      </c>
      <c r="J34" s="68">
        <f>'B原料'!J34</f>
        <v>0</v>
      </c>
      <c r="K34" s="64">
        <f>'B原料'!K34</f>
        <v>9814</v>
      </c>
      <c r="L34" s="51">
        <f>'B原料'!L34</f>
        <v>0</v>
      </c>
      <c r="M34" s="51">
        <f>'B原料'!M34</f>
        <v>0</v>
      </c>
      <c r="N34" s="51">
        <f>'B原料'!N34+'P原料'!N34</f>
        <v>0</v>
      </c>
      <c r="O34" s="51">
        <f>'B原料'!O34+'P原料'!O34</f>
        <v>0</v>
      </c>
      <c r="P34" s="60">
        <f>'B原料'!P34+'P原料'!P34</f>
        <v>0</v>
      </c>
      <c r="Q34" s="68">
        <f>SUM(K34:P34)</f>
        <v>9814</v>
      </c>
      <c r="R34" s="64">
        <f>Q34+J34</f>
        <v>9814</v>
      </c>
      <c r="S34" s="16"/>
    </row>
    <row r="35" spans="1:19" s="17" customFormat="1" ht="16.5" customHeight="1">
      <c r="A35" s="102"/>
      <c r="B35" s="30" t="s">
        <v>10</v>
      </c>
      <c r="C35" s="34" t="s">
        <v>2</v>
      </c>
      <c r="D35" s="56">
        <f>'B原料'!D35</f>
        <v>0</v>
      </c>
      <c r="E35" s="51">
        <f>'B原料'!E35</f>
        <v>0</v>
      </c>
      <c r="F35" s="51">
        <f>'B原料'!F35</f>
        <v>0</v>
      </c>
      <c r="G35" s="51">
        <f>'B原料'!G35</f>
        <v>0</v>
      </c>
      <c r="H35" s="51">
        <f>'B原料'!H35</f>
        <v>0</v>
      </c>
      <c r="I35" s="60">
        <f>'B原料'!I35</f>
        <v>0</v>
      </c>
      <c r="J35" s="68">
        <f>'B原料'!J35</f>
        <v>0</v>
      </c>
      <c r="K35" s="64">
        <f>'B原料'!K35</f>
        <v>511911</v>
      </c>
      <c r="L35" s="51">
        <f>'B原料'!L35</f>
        <v>0</v>
      </c>
      <c r="M35" s="51">
        <f>'B原料'!M35</f>
        <v>0</v>
      </c>
      <c r="N35" s="51">
        <f>'B原料'!N35+'P原料'!N35</f>
        <v>0</v>
      </c>
      <c r="O35" s="51">
        <f>'B原料'!O35+'P原料'!O35</f>
        <v>0</v>
      </c>
      <c r="P35" s="60">
        <f>'B原料'!P35+'P原料'!P35</f>
        <v>0</v>
      </c>
      <c r="Q35" s="68">
        <f>SUM(K35:P35)</f>
        <v>511911</v>
      </c>
      <c r="R35" s="64">
        <f>Q35+J35</f>
        <v>511911</v>
      </c>
      <c r="S35" s="16"/>
    </row>
    <row r="36" spans="1:19" s="17" customFormat="1" ht="16.5" customHeight="1" thickBot="1">
      <c r="A36" s="103"/>
      <c r="B36" s="18" t="s">
        <v>42</v>
      </c>
      <c r="C36" s="35" t="s">
        <v>3</v>
      </c>
      <c r="D36" s="57">
        <f>IF(D34=0,,D35/D34*1000)</f>
        <v>0</v>
      </c>
      <c r="E36" s="52">
        <f>IF(E34=0,,E35/E34*1000)</f>
        <v>0</v>
      </c>
      <c r="F36" s="52">
        <f>IF(F34=0,,F35/F34*1000)</f>
        <v>0</v>
      </c>
      <c r="G36" s="52">
        <f aca="true" t="shared" si="10" ref="G36:R36">IF(G34=0,,G35/G34*1000)</f>
        <v>0</v>
      </c>
      <c r="H36" s="52">
        <f t="shared" si="10"/>
        <v>0</v>
      </c>
      <c r="I36" s="61">
        <f t="shared" si="10"/>
        <v>0</v>
      </c>
      <c r="J36" s="69">
        <f t="shared" si="10"/>
        <v>0</v>
      </c>
      <c r="K36" s="65">
        <f t="shared" si="10"/>
        <v>52161.300183411455</v>
      </c>
      <c r="L36" s="52">
        <f t="shared" si="10"/>
        <v>0</v>
      </c>
      <c r="M36" s="52">
        <f t="shared" si="10"/>
        <v>0</v>
      </c>
      <c r="N36" s="52">
        <f t="shared" si="10"/>
        <v>0</v>
      </c>
      <c r="O36" s="52">
        <f t="shared" si="10"/>
        <v>0</v>
      </c>
      <c r="P36" s="61">
        <f t="shared" si="10"/>
        <v>0</v>
      </c>
      <c r="Q36" s="69">
        <f t="shared" si="10"/>
        <v>52161.300183411455</v>
      </c>
      <c r="R36" s="65">
        <f t="shared" si="10"/>
        <v>52161.300183411455</v>
      </c>
      <c r="S36" s="16"/>
    </row>
    <row r="37" spans="1:19" s="17" customFormat="1" ht="16.5" customHeight="1">
      <c r="A37" s="101" t="s">
        <v>12</v>
      </c>
      <c r="B37" s="30" t="s">
        <v>9</v>
      </c>
      <c r="C37" s="34" t="s">
        <v>1</v>
      </c>
      <c r="D37" s="59">
        <f>'B原料'!D37</f>
        <v>10504</v>
      </c>
      <c r="E37" s="54">
        <f>'B原料'!E37</f>
        <v>0</v>
      </c>
      <c r="F37" s="54">
        <f>'B原料'!F37</f>
        <v>0</v>
      </c>
      <c r="G37" s="54">
        <f>'B原料'!G37</f>
        <v>0</v>
      </c>
      <c r="H37" s="54">
        <f>'B原料'!H37</f>
        <v>0</v>
      </c>
      <c r="I37" s="63">
        <f>'B原料'!I37</f>
        <v>0</v>
      </c>
      <c r="J37" s="71">
        <f>'B原料'!J37</f>
        <v>10504</v>
      </c>
      <c r="K37" s="67">
        <f>'B原料'!K37</f>
        <v>3021</v>
      </c>
      <c r="L37" s="54">
        <f>'B原料'!L37</f>
        <v>3136</v>
      </c>
      <c r="M37" s="54">
        <f>'B原料'!M37</f>
        <v>0</v>
      </c>
      <c r="N37" s="54">
        <f>'B原料'!N37+'P原料'!N37</f>
        <v>0</v>
      </c>
      <c r="O37" s="54">
        <f>'B原料'!O37+'P原料'!O37</f>
        <v>0</v>
      </c>
      <c r="P37" s="63">
        <f>'B原料'!P37+'P原料'!P37</f>
        <v>0</v>
      </c>
      <c r="Q37" s="71">
        <f>SUM(K37:P37)</f>
        <v>6157</v>
      </c>
      <c r="R37" s="67">
        <f>Q37+J37</f>
        <v>16661</v>
      </c>
      <c r="S37" s="16"/>
    </row>
    <row r="38" spans="1:19" s="17" customFormat="1" ht="16.5" customHeight="1">
      <c r="A38" s="102"/>
      <c r="B38" s="30" t="s">
        <v>10</v>
      </c>
      <c r="C38" s="34" t="s">
        <v>2</v>
      </c>
      <c r="D38" s="58">
        <f>'B原料'!D38</f>
        <v>550480</v>
      </c>
      <c r="E38" s="53">
        <f>'B原料'!E38</f>
        <v>0</v>
      </c>
      <c r="F38" s="53">
        <f>'B原料'!F38</f>
        <v>0</v>
      </c>
      <c r="G38" s="53">
        <f>'B原料'!G38</f>
        <v>0</v>
      </c>
      <c r="H38" s="53">
        <f>'B原料'!H38</f>
        <v>0</v>
      </c>
      <c r="I38" s="62">
        <f>'B原料'!I38</f>
        <v>0</v>
      </c>
      <c r="J38" s="70">
        <f>'B原料'!J38</f>
        <v>550480</v>
      </c>
      <c r="K38" s="66">
        <f>'B原料'!K38</f>
        <v>156988</v>
      </c>
      <c r="L38" s="53">
        <f>'B原料'!L38</f>
        <v>169712</v>
      </c>
      <c r="M38" s="53">
        <f>'B原料'!M38</f>
        <v>0</v>
      </c>
      <c r="N38" s="53">
        <f>'B原料'!N38+'P原料'!N38</f>
        <v>0</v>
      </c>
      <c r="O38" s="53">
        <f>'B原料'!O38+'P原料'!O38</f>
        <v>0</v>
      </c>
      <c r="P38" s="62">
        <f>'B原料'!P38+'P原料'!P38</f>
        <v>0</v>
      </c>
      <c r="Q38" s="70">
        <f>SUM(K38:P38)</f>
        <v>326700</v>
      </c>
      <c r="R38" s="66">
        <f>Q38+J38</f>
        <v>877180</v>
      </c>
      <c r="S38" s="16"/>
    </row>
    <row r="39" spans="1:19" s="17" customFormat="1" ht="16.5" customHeight="1" thickBot="1">
      <c r="A39" s="103"/>
      <c r="B39" s="18" t="s">
        <v>42</v>
      </c>
      <c r="C39" s="35" t="s">
        <v>3</v>
      </c>
      <c r="D39" s="57">
        <f>IF(D37=0,,D38/D37*1000)</f>
        <v>52406.70220868241</v>
      </c>
      <c r="E39" s="52">
        <f>IF(E37=0,,E38/E37*1000)</f>
        <v>0</v>
      </c>
      <c r="F39" s="52">
        <f>IF(F37=0,,F38/F37*1000)</f>
        <v>0</v>
      </c>
      <c r="G39" s="52">
        <f aca="true" t="shared" si="11" ref="G39:R39">IF(G37=0,,G38/G37*1000)</f>
        <v>0</v>
      </c>
      <c r="H39" s="52">
        <f t="shared" si="11"/>
        <v>0</v>
      </c>
      <c r="I39" s="61">
        <f t="shared" si="11"/>
        <v>0</v>
      </c>
      <c r="J39" s="69">
        <f t="shared" si="11"/>
        <v>52406.70220868241</v>
      </c>
      <c r="K39" s="65">
        <f t="shared" si="11"/>
        <v>51965.57431314135</v>
      </c>
      <c r="L39" s="52">
        <f t="shared" si="11"/>
        <v>54117.34693877551</v>
      </c>
      <c r="M39" s="52">
        <f t="shared" si="11"/>
        <v>0</v>
      </c>
      <c r="N39" s="52">
        <f t="shared" si="11"/>
        <v>0</v>
      </c>
      <c r="O39" s="52">
        <f t="shared" si="11"/>
        <v>0</v>
      </c>
      <c r="P39" s="61">
        <f t="shared" si="11"/>
        <v>0</v>
      </c>
      <c r="Q39" s="69">
        <f t="shared" si="11"/>
        <v>53061.5559525743</v>
      </c>
      <c r="R39" s="65">
        <f t="shared" si="11"/>
        <v>52648.70055818979</v>
      </c>
      <c r="S39" s="16"/>
    </row>
    <row r="40" spans="1:19" s="17" customFormat="1" ht="16.5" customHeight="1">
      <c r="A40" s="101" t="s">
        <v>4</v>
      </c>
      <c r="B40" s="30" t="s">
        <v>9</v>
      </c>
      <c r="C40" s="34" t="s">
        <v>1</v>
      </c>
      <c r="D40" s="59">
        <f>'B原料'!D40</f>
        <v>129626</v>
      </c>
      <c r="E40" s="54">
        <f>'B原料'!E40</f>
        <v>170897</v>
      </c>
      <c r="F40" s="54">
        <f>'B原料'!F40</f>
        <v>173207</v>
      </c>
      <c r="G40" s="54">
        <f>'B原料'!G40</f>
        <v>73681</v>
      </c>
      <c r="H40" s="54">
        <f>'B原料'!H40</f>
        <v>179874</v>
      </c>
      <c r="I40" s="63">
        <f>'B原料'!I40</f>
        <v>166493</v>
      </c>
      <c r="J40" s="71">
        <f>'B原料'!J40</f>
        <v>893778</v>
      </c>
      <c r="K40" s="67">
        <f>'B原料'!K40</f>
        <v>100535</v>
      </c>
      <c r="L40" s="54">
        <f>'B原料'!L40</f>
        <v>45386</v>
      </c>
      <c r="M40" s="54">
        <f>'B原料'!M40</f>
        <v>43434</v>
      </c>
      <c r="N40" s="54">
        <f>'B原料'!N40+'P原料'!N40</f>
        <v>40950</v>
      </c>
      <c r="O40" s="54">
        <f>'B原料'!O40+'P原料'!O40</f>
        <v>2369</v>
      </c>
      <c r="P40" s="63">
        <f>'B原料'!P40+'P原料'!P40</f>
        <v>32263</v>
      </c>
      <c r="Q40" s="71">
        <f>'P原料'!Q40+'B原料'!Q40</f>
        <v>264937</v>
      </c>
      <c r="R40" s="67">
        <f>J40+Q40</f>
        <v>1158715</v>
      </c>
      <c r="S40" s="16"/>
    </row>
    <row r="41" spans="1:19" s="17" customFormat="1" ht="16.5" customHeight="1">
      <c r="A41" s="102"/>
      <c r="B41" s="30" t="s">
        <v>10</v>
      </c>
      <c r="C41" s="34" t="s">
        <v>2</v>
      </c>
      <c r="D41" s="58">
        <f>'B原料'!D41</f>
        <v>5541678</v>
      </c>
      <c r="E41" s="53">
        <f>'B原料'!E41</f>
        <v>7329219</v>
      </c>
      <c r="F41" s="53">
        <f>'B原料'!F41</f>
        <v>8302575</v>
      </c>
      <c r="G41" s="53">
        <f>'B原料'!G41</f>
        <v>3911847</v>
      </c>
      <c r="H41" s="53">
        <f>'B原料'!H41</f>
        <v>9873311</v>
      </c>
      <c r="I41" s="62">
        <f>'B原料'!I41</f>
        <v>9084918</v>
      </c>
      <c r="J41" s="70">
        <f>'B原料'!J41</f>
        <v>44043548</v>
      </c>
      <c r="K41" s="66">
        <f>'B原料'!K41</f>
        <v>5384368</v>
      </c>
      <c r="L41" s="53">
        <f>'B原料'!L41</f>
        <v>2447647</v>
      </c>
      <c r="M41" s="53">
        <f>'B原料'!M41</f>
        <v>2642759</v>
      </c>
      <c r="N41" s="53">
        <f>'B原料'!N41+'P原料'!N41</f>
        <v>2601535</v>
      </c>
      <c r="O41" s="53">
        <f>'B原料'!O41+'P原料'!O41</f>
        <v>149392</v>
      </c>
      <c r="P41" s="62">
        <f>'B原料'!P41+'P原料'!P41</f>
        <v>2284151</v>
      </c>
      <c r="Q41" s="70">
        <f>'P原料'!Q41+'B原料'!Q41</f>
        <v>15509852</v>
      </c>
      <c r="R41" s="66">
        <f>J41+Q41</f>
        <v>59553400</v>
      </c>
      <c r="S41" s="16"/>
    </row>
    <row r="42" spans="1:19" s="17" customFormat="1" ht="16.5" customHeight="1" thickBot="1">
      <c r="A42" s="103"/>
      <c r="B42" s="18" t="s">
        <v>42</v>
      </c>
      <c r="C42" s="35" t="s">
        <v>3</v>
      </c>
      <c r="D42" s="57">
        <f>IF(D40=0,,D41/D40*1000)</f>
        <v>42751.28446453643</v>
      </c>
      <c r="E42" s="52">
        <f>IF(E40=0,,E41/E40*1000)</f>
        <v>42886.76220179407</v>
      </c>
      <c r="F42" s="52">
        <f>IF(F40=0,,F41/F40*1000)</f>
        <v>47934.407962726684</v>
      </c>
      <c r="G42" s="52">
        <f aca="true" t="shared" si="12" ref="G42:R42">IF(G40=0,,G41/G40*1000)</f>
        <v>53091.66542256484</v>
      </c>
      <c r="H42" s="52">
        <f t="shared" si="12"/>
        <v>54890.150883396156</v>
      </c>
      <c r="I42" s="61">
        <f t="shared" si="12"/>
        <v>54566.36615353198</v>
      </c>
      <c r="J42" s="69">
        <f t="shared" si="12"/>
        <v>49277.95045302077</v>
      </c>
      <c r="K42" s="65">
        <f t="shared" si="12"/>
        <v>53557.149251504445</v>
      </c>
      <c r="L42" s="52">
        <f t="shared" si="12"/>
        <v>53929.55977614243</v>
      </c>
      <c r="M42" s="52">
        <f t="shared" si="12"/>
        <v>60845.39761477184</v>
      </c>
      <c r="N42" s="52">
        <f t="shared" si="12"/>
        <v>63529.548229548236</v>
      </c>
      <c r="O42" s="52">
        <f t="shared" si="12"/>
        <v>63061.207260447445</v>
      </c>
      <c r="P42" s="61">
        <f t="shared" si="12"/>
        <v>70797.84892911384</v>
      </c>
      <c r="Q42" s="69">
        <f t="shared" si="12"/>
        <v>58541.66084767322</v>
      </c>
      <c r="R42" s="65">
        <f t="shared" si="12"/>
        <v>51396.072373275565</v>
      </c>
      <c r="S42" s="16"/>
    </row>
    <row r="43" spans="1:19" s="17" customFormat="1" ht="24" customHeight="1" thickBot="1">
      <c r="A43" s="108" t="s">
        <v>13</v>
      </c>
      <c r="B43" s="109"/>
      <c r="C43" s="116"/>
      <c r="D43" s="74">
        <f>'総合計'!D43</f>
        <v>98.82</v>
      </c>
      <c r="E43" s="75">
        <f>'総合計'!E43</f>
        <v>97.81</v>
      </c>
      <c r="F43" s="75">
        <f>'総合計'!F43</f>
        <v>96.17</v>
      </c>
      <c r="G43" s="75">
        <f>'総合計'!G43</f>
        <v>95.09</v>
      </c>
      <c r="H43" s="75">
        <f>'総合計'!H43</f>
        <v>94.97</v>
      </c>
      <c r="I43" s="76">
        <f>'総合計'!I43</f>
        <v>93.05</v>
      </c>
      <c r="J43" s="77">
        <f>'総合計'!J43</f>
        <v>95.92</v>
      </c>
      <c r="K43" s="78">
        <f>'総合計'!K43</f>
        <v>89.99</v>
      </c>
      <c r="L43" s="75">
        <f>'総合計'!L43</f>
        <v>90.61</v>
      </c>
      <c r="M43" s="75">
        <f>'総合計'!M43</f>
        <v>88.33</v>
      </c>
      <c r="N43" s="75">
        <f>'総合計'!N43</f>
        <v>91.61</v>
      </c>
      <c r="O43" s="75">
        <f>'総合計'!O43</f>
        <v>90.22</v>
      </c>
      <c r="P43" s="76">
        <f>'総合計'!P43</f>
        <v>90.11</v>
      </c>
      <c r="Q43" s="77">
        <f>'総合計'!Q43</f>
        <v>90.16</v>
      </c>
      <c r="R43" s="79">
        <f>'総合計'!R43</f>
        <v>92.97</v>
      </c>
      <c r="S43" s="16"/>
    </row>
    <row r="44" spans="1:18" ht="12.75">
      <c r="A44" s="97" t="str">
        <f>'総合計'!A53</f>
        <v>※数値はすべて確定値。</v>
      </c>
      <c r="D44" s="6"/>
      <c r="E44" s="6"/>
      <c r="F44" s="6"/>
      <c r="G44" s="6"/>
      <c r="H44" s="6"/>
      <c r="I44" s="6"/>
      <c r="J44" s="7"/>
      <c r="K44" s="6"/>
      <c r="L44" s="6"/>
      <c r="M44" s="6"/>
      <c r="N44" s="6"/>
      <c r="O44" s="6"/>
      <c r="P44" s="6"/>
      <c r="Q44" s="6"/>
      <c r="R44" s="6"/>
    </row>
    <row r="45" spans="4:18" ht="12.75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"/>
    </row>
  </sheetData>
  <mergeCells count="15">
    <mergeCell ref="D1:P1"/>
    <mergeCell ref="A4:A6"/>
    <mergeCell ref="A7:A9"/>
    <mergeCell ref="A10:A12"/>
    <mergeCell ref="A13:A15"/>
    <mergeCell ref="A16:A18"/>
    <mergeCell ref="A19:A21"/>
    <mergeCell ref="A22:A24"/>
    <mergeCell ref="A37:A39"/>
    <mergeCell ref="A40:A42"/>
    <mergeCell ref="A43:C43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71" r:id="rId2"/>
  <headerFooter alignWithMargins="0">
    <oddFooter>&amp;C&amp;20-3-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showZeros="0" zoomScale="55" zoomScaleNormal="55" zoomScaleSheetLayoutView="100" workbookViewId="0" topLeftCell="A1">
      <selection activeCell="Q43" sqref="Q43"/>
    </sheetView>
  </sheetViews>
  <sheetFormatPr defaultColWidth="9.140625" defaultRowHeight="12.75"/>
  <cols>
    <col min="1" max="1" width="14.421875" style="0" customWidth="1"/>
    <col min="4" max="9" width="10.7109375" style="0" customWidth="1"/>
    <col min="10" max="10" width="11.421875" style="0" customWidth="1"/>
    <col min="11" max="16" width="10.7109375" style="0" customWidth="1"/>
    <col min="17" max="18" width="11.421875" style="0" customWidth="1"/>
    <col min="19" max="19" width="4.8515625" style="0" customWidth="1"/>
  </cols>
  <sheetData>
    <row r="1" spans="1:16" ht="27" customHeight="1">
      <c r="A1" s="13" t="s">
        <v>34</v>
      </c>
      <c r="B1" s="10" t="s">
        <v>93</v>
      </c>
      <c r="C1" s="1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8" ht="18" customHeight="1" thickBot="1">
      <c r="A2" s="15" t="s">
        <v>4</v>
      </c>
      <c r="B2" s="1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8">
        <f>'総合計'!Q2</f>
        <v>40616</v>
      </c>
    </row>
    <row r="3" spans="1:19" ht="24" customHeight="1" thickBot="1">
      <c r="A3" s="28" t="s">
        <v>33</v>
      </c>
      <c r="B3" s="29"/>
      <c r="C3" s="29"/>
      <c r="D3" s="21" t="s">
        <v>16</v>
      </c>
      <c r="E3" s="23" t="s">
        <v>17</v>
      </c>
      <c r="F3" s="23" t="s">
        <v>18</v>
      </c>
      <c r="G3" s="23" t="s">
        <v>19</v>
      </c>
      <c r="H3" s="23" t="s">
        <v>20</v>
      </c>
      <c r="I3" s="24" t="s">
        <v>21</v>
      </c>
      <c r="J3" s="25" t="s">
        <v>22</v>
      </c>
      <c r="K3" s="24" t="s">
        <v>23</v>
      </c>
      <c r="L3" s="23" t="s">
        <v>24</v>
      </c>
      <c r="M3" s="23" t="s">
        <v>25</v>
      </c>
      <c r="N3" s="23" t="s">
        <v>26</v>
      </c>
      <c r="O3" s="23" t="s">
        <v>27</v>
      </c>
      <c r="P3" s="24" t="s">
        <v>28</v>
      </c>
      <c r="Q3" s="25" t="s">
        <v>29</v>
      </c>
      <c r="R3" s="26" t="s">
        <v>30</v>
      </c>
      <c r="S3" s="5"/>
    </row>
    <row r="4" spans="1:19" s="17" customFormat="1" ht="16.5" customHeight="1">
      <c r="A4" s="101" t="s">
        <v>41</v>
      </c>
      <c r="B4" s="30" t="s">
        <v>9</v>
      </c>
      <c r="C4" s="33" t="s">
        <v>1</v>
      </c>
      <c r="D4" s="55">
        <f>'P一般'!D4+'P原料'!D4</f>
        <v>99776</v>
      </c>
      <c r="E4" s="51">
        <f>'P一般'!E4+'P原料'!E4</f>
        <v>272179</v>
      </c>
      <c r="F4" s="51">
        <f>'P一般'!F4+'P原料'!F4</f>
        <v>171437</v>
      </c>
      <c r="G4" s="51">
        <f>'P一般'!G4+'P原料'!G4</f>
        <v>160171</v>
      </c>
      <c r="H4" s="51">
        <f>'P一般'!H4+'P原料'!H4</f>
        <v>152972</v>
      </c>
      <c r="I4" s="60">
        <f>'P一般'!I4+'P原料'!I4</f>
        <v>286140</v>
      </c>
      <c r="J4" s="73">
        <f>'P一般'!J4</f>
        <v>1142675</v>
      </c>
      <c r="K4" s="64">
        <f>'P一般'!K4+'P原料'!K4</f>
        <v>138031</v>
      </c>
      <c r="L4" s="51">
        <f>'P一般'!L4+'P原料'!L4</f>
        <v>240437</v>
      </c>
      <c r="M4" s="51">
        <f>'P一般'!M4+'P原料'!M4</f>
        <v>159403</v>
      </c>
      <c r="N4" s="51">
        <f>'P一般'!N4+'P原料'!N4</f>
        <v>215330</v>
      </c>
      <c r="O4" s="51">
        <f>'P一般'!O4+'P原料'!O4</f>
        <v>202653</v>
      </c>
      <c r="P4" s="60">
        <f>'P一般'!P4+'P原料'!P4</f>
        <v>105172</v>
      </c>
      <c r="Q4" s="73">
        <f>'P一般'!Q4</f>
        <v>1061026</v>
      </c>
      <c r="R4" s="64">
        <f>'P一般'!R4</f>
        <v>2203701</v>
      </c>
      <c r="S4" s="16"/>
    </row>
    <row r="5" spans="1:19" s="17" customFormat="1" ht="16.5" customHeight="1">
      <c r="A5" s="102"/>
      <c r="B5" s="30" t="s">
        <v>10</v>
      </c>
      <c r="C5" s="34" t="s">
        <v>2</v>
      </c>
      <c r="D5" s="56">
        <f>'P一般'!D5+'P原料'!D5</f>
        <v>4478912</v>
      </c>
      <c r="E5" s="51">
        <f>'P一般'!E5+'P原料'!E5</f>
        <v>12027390</v>
      </c>
      <c r="F5" s="51">
        <f>'P一般'!F5+'P原料'!F5</f>
        <v>7150730</v>
      </c>
      <c r="G5" s="51">
        <f>'P一般'!G5+'P原料'!G5</f>
        <v>6894585</v>
      </c>
      <c r="H5" s="51">
        <f>'P一般'!H5+'P原料'!H5</f>
        <v>7772257</v>
      </c>
      <c r="I5" s="60">
        <f>'P一般'!I5+'P原料'!I5</f>
        <v>14823590</v>
      </c>
      <c r="J5" s="68">
        <f>'P一般'!J5</f>
        <v>53147464</v>
      </c>
      <c r="K5" s="64">
        <f>'P一般'!K5+'P原料'!K5</f>
        <v>7251955</v>
      </c>
      <c r="L5" s="51">
        <f>'P一般'!L5+'P原料'!L5</f>
        <v>13284691</v>
      </c>
      <c r="M5" s="51">
        <f>'P一般'!M5+'P原料'!M5</f>
        <v>10004159</v>
      </c>
      <c r="N5" s="51">
        <f>'P一般'!N5+'P原料'!N5</f>
        <v>14847455</v>
      </c>
      <c r="O5" s="51">
        <f>'P一般'!O5+'P原料'!O5</f>
        <v>13972201</v>
      </c>
      <c r="P5" s="60">
        <f>'P一般'!P5+'P原料'!P5</f>
        <v>7292405</v>
      </c>
      <c r="Q5" s="68">
        <f>'P一般'!Q5</f>
        <v>66652866</v>
      </c>
      <c r="R5" s="64">
        <f>'P一般'!R5</f>
        <v>119800330</v>
      </c>
      <c r="S5" s="16"/>
    </row>
    <row r="6" spans="1:19" s="17" customFormat="1" ht="16.5" customHeight="1" thickBot="1">
      <c r="A6" s="103"/>
      <c r="B6" s="18" t="s">
        <v>42</v>
      </c>
      <c r="C6" s="35" t="s">
        <v>3</v>
      </c>
      <c r="D6" s="57">
        <f>IF(D4=0,,D5/D4*1000)</f>
        <v>44889.67286722258</v>
      </c>
      <c r="E6" s="52">
        <f>IF(E4=0,,E5/E4*1000)</f>
        <v>44189.265152712</v>
      </c>
      <c r="F6" s="52">
        <f>IF(F4=0,,F5/F4*1000)</f>
        <v>41710.54089840583</v>
      </c>
      <c r="G6" s="52">
        <f aca="true" t="shared" si="0" ref="G6:R6">IF(G4=0,,G5/G4*1000)</f>
        <v>43045.15174407352</v>
      </c>
      <c r="H6" s="52">
        <f t="shared" si="0"/>
        <v>50808.36362210078</v>
      </c>
      <c r="I6" s="61">
        <f t="shared" si="0"/>
        <v>51805.374991263016</v>
      </c>
      <c r="J6" s="69">
        <f t="shared" si="0"/>
        <v>46511.44376134946</v>
      </c>
      <c r="K6" s="65">
        <f t="shared" si="0"/>
        <v>52538.59640225746</v>
      </c>
      <c r="L6" s="52">
        <f t="shared" si="0"/>
        <v>55252.27398445331</v>
      </c>
      <c r="M6" s="52">
        <f t="shared" si="0"/>
        <v>62760.167625452465</v>
      </c>
      <c r="N6" s="52">
        <f t="shared" si="0"/>
        <v>68952.09678168393</v>
      </c>
      <c r="O6" s="52">
        <f t="shared" si="0"/>
        <v>68946.430598116</v>
      </c>
      <c r="P6" s="61">
        <f t="shared" si="0"/>
        <v>69337.89411630473</v>
      </c>
      <c r="Q6" s="69">
        <f t="shared" si="0"/>
        <v>62819.257963518336</v>
      </c>
      <c r="R6" s="65">
        <f t="shared" si="0"/>
        <v>54363.24165574187</v>
      </c>
      <c r="S6" s="49">
        <f>IF(S4=0,"",(S5/S4)*1000)</f>
      </c>
    </row>
    <row r="7" spans="1:19" s="17" customFormat="1" ht="16.5" customHeight="1">
      <c r="A7" s="101" t="s">
        <v>51</v>
      </c>
      <c r="B7" s="30" t="s">
        <v>9</v>
      </c>
      <c r="C7" s="34" t="s">
        <v>1</v>
      </c>
      <c r="D7" s="56">
        <f>'P一般'!D7+'P原料'!D7</f>
        <v>156796</v>
      </c>
      <c r="E7" s="51">
        <f>'P一般'!E7+'P原料'!E7</f>
        <v>52146</v>
      </c>
      <c r="F7" s="51">
        <f>'P一般'!F7+'P原料'!F7</f>
        <v>64249</v>
      </c>
      <c r="G7" s="51">
        <f>'P一般'!G7+'P原料'!G7</f>
        <v>59219</v>
      </c>
      <c r="H7" s="51">
        <f>'P一般'!H7+'P原料'!H7</f>
        <v>92902</v>
      </c>
      <c r="I7" s="60">
        <f>'P一般'!I7+'P原料'!I7</f>
        <v>107121</v>
      </c>
      <c r="J7" s="68">
        <f>'P一般'!J7</f>
        <v>532433</v>
      </c>
      <c r="K7" s="64">
        <f>'P一般'!K7+'P原料'!K7</f>
        <v>83924</v>
      </c>
      <c r="L7" s="51">
        <f>'P一般'!L7+'P原料'!L7</f>
        <v>159746</v>
      </c>
      <c r="M7" s="51">
        <f>'P一般'!M7+'P原料'!M7</f>
        <v>109902</v>
      </c>
      <c r="N7" s="51">
        <f>'P一般'!N7+'P原料'!N7</f>
        <v>59514</v>
      </c>
      <c r="O7" s="51">
        <f>'P一般'!O7+'P原料'!O7</f>
        <v>51995</v>
      </c>
      <c r="P7" s="60">
        <f>'P一般'!P7+'P原料'!P7</f>
        <v>73029</v>
      </c>
      <c r="Q7" s="68">
        <f>'P一般'!Q7</f>
        <v>538110</v>
      </c>
      <c r="R7" s="64">
        <f>'P一般'!R7</f>
        <v>1070543</v>
      </c>
      <c r="S7" s="16"/>
    </row>
    <row r="8" spans="1:19" s="17" customFormat="1" ht="16.5" customHeight="1">
      <c r="A8" s="102"/>
      <c r="B8" s="30" t="s">
        <v>10</v>
      </c>
      <c r="C8" s="34" t="s">
        <v>2</v>
      </c>
      <c r="D8" s="56">
        <f>'P一般'!D8+'P原料'!D8</f>
        <v>7609814</v>
      </c>
      <c r="E8" s="51">
        <f>'P一般'!E8+'P原料'!E8</f>
        <v>2117348</v>
      </c>
      <c r="F8" s="51">
        <f>'P一般'!F8+'P原料'!F8</f>
        <v>2558096</v>
      </c>
      <c r="G8" s="51">
        <f>'P一般'!G8+'P原料'!G8</f>
        <v>2905846</v>
      </c>
      <c r="H8" s="51">
        <f>'P一般'!H8+'P原料'!H8</f>
        <v>4489834</v>
      </c>
      <c r="I8" s="60">
        <f>'P一般'!I8+'P原料'!I8</f>
        <v>5241974</v>
      </c>
      <c r="J8" s="68">
        <f>'P一般'!J8</f>
        <v>24922912</v>
      </c>
      <c r="K8" s="64">
        <f>'P一般'!K8+'P原料'!K8</f>
        <v>4463505</v>
      </c>
      <c r="L8" s="51">
        <f>'P一般'!L8+'P原料'!L8</f>
        <v>9255154</v>
      </c>
      <c r="M8" s="51">
        <f>'P一般'!M8+'P原料'!M8</f>
        <v>6079067</v>
      </c>
      <c r="N8" s="51">
        <f>'P一般'!N8+'P原料'!N8</f>
        <v>3920039</v>
      </c>
      <c r="O8" s="51">
        <f>'P一般'!O8+'P原料'!O8</f>
        <v>3552189</v>
      </c>
      <c r="P8" s="60">
        <f>'P一般'!P8+'P原料'!P8</f>
        <v>4823179</v>
      </c>
      <c r="Q8" s="68">
        <f>'P一般'!Q8</f>
        <v>32093133</v>
      </c>
      <c r="R8" s="64">
        <f>'P一般'!R8</f>
        <v>57016045</v>
      </c>
      <c r="S8" s="16"/>
    </row>
    <row r="9" spans="1:19" s="17" customFormat="1" ht="16.5" customHeight="1" thickBot="1">
      <c r="A9" s="103"/>
      <c r="B9" s="18" t="s">
        <v>42</v>
      </c>
      <c r="C9" s="35" t="s">
        <v>3</v>
      </c>
      <c r="D9" s="57">
        <f>IF(D7=0,,D8/D7*1000)</f>
        <v>48533.215133039106</v>
      </c>
      <c r="E9" s="52">
        <f>IF(E7=0,,E8/E7*1000)</f>
        <v>40604.22659456143</v>
      </c>
      <c r="F9" s="52">
        <f>IF(F7=0,,F8/F7*1000)</f>
        <v>39815.34342946972</v>
      </c>
      <c r="G9" s="52">
        <f aca="true" t="shared" si="1" ref="G9:R9">IF(G7=0,,G8/G7*1000)</f>
        <v>49069.48783329675</v>
      </c>
      <c r="H9" s="52">
        <f t="shared" si="1"/>
        <v>48328.7119760608</v>
      </c>
      <c r="I9" s="61">
        <f t="shared" si="1"/>
        <v>48935.07342164468</v>
      </c>
      <c r="J9" s="69">
        <f t="shared" si="1"/>
        <v>46809.48025385354</v>
      </c>
      <c r="K9" s="65">
        <f t="shared" si="1"/>
        <v>53185.084123730994</v>
      </c>
      <c r="L9" s="52">
        <f t="shared" si="1"/>
        <v>57936.68699059757</v>
      </c>
      <c r="M9" s="52">
        <f t="shared" si="1"/>
        <v>55313.52477661917</v>
      </c>
      <c r="N9" s="52">
        <f t="shared" si="1"/>
        <v>65867.5101656753</v>
      </c>
      <c r="O9" s="52">
        <f t="shared" si="1"/>
        <v>68317.8959515338</v>
      </c>
      <c r="P9" s="61">
        <f t="shared" si="1"/>
        <v>66044.70826657904</v>
      </c>
      <c r="Q9" s="69">
        <f t="shared" si="1"/>
        <v>59640.46942075041</v>
      </c>
      <c r="R9" s="65">
        <f t="shared" si="1"/>
        <v>53258.995668553245</v>
      </c>
      <c r="S9" s="16"/>
    </row>
    <row r="10" spans="1:19" s="17" customFormat="1" ht="16.5" customHeight="1">
      <c r="A10" s="101" t="s">
        <v>52</v>
      </c>
      <c r="B10" s="30" t="s">
        <v>9</v>
      </c>
      <c r="C10" s="34" t="s">
        <v>1</v>
      </c>
      <c r="D10" s="56">
        <f>'P一般'!D10+'P原料'!D10</f>
        <v>61525</v>
      </c>
      <c r="E10" s="51">
        <f>'P一般'!E10+'P原料'!E10</f>
        <v>0</v>
      </c>
      <c r="F10" s="51">
        <f>'P一般'!F10+'P原料'!F10</f>
        <v>51258</v>
      </c>
      <c r="G10" s="51">
        <f>'P一般'!G10+'P原料'!G10</f>
        <v>0</v>
      </c>
      <c r="H10" s="51">
        <f>'P一般'!H10+'P原料'!H10</f>
        <v>42392</v>
      </c>
      <c r="I10" s="60">
        <f>'P一般'!I10+'P原料'!I10</f>
        <v>0</v>
      </c>
      <c r="J10" s="68">
        <f>'P一般'!J10</f>
        <v>155175</v>
      </c>
      <c r="K10" s="64">
        <f>'P一般'!K10+'P原料'!K10</f>
        <v>32810</v>
      </c>
      <c r="L10" s="51">
        <f>'P一般'!L10+'P原料'!L10</f>
        <v>12663</v>
      </c>
      <c r="M10" s="51">
        <f>'P一般'!M10+'P原料'!M10</f>
        <v>66254</v>
      </c>
      <c r="N10" s="51">
        <f>'P一般'!N10+'P原料'!N10</f>
        <v>64487</v>
      </c>
      <c r="O10" s="51">
        <f>'P一般'!O10+'P原料'!O10</f>
        <v>39656</v>
      </c>
      <c r="P10" s="60">
        <f>'P一般'!P10+'P原料'!P10</f>
        <v>73460</v>
      </c>
      <c r="Q10" s="68">
        <f>'P一般'!Q10</f>
        <v>289330</v>
      </c>
      <c r="R10" s="64">
        <f>'P一般'!R10</f>
        <v>444505</v>
      </c>
      <c r="S10" s="16"/>
    </row>
    <row r="11" spans="1:19" s="17" customFormat="1" ht="16.5" customHeight="1">
      <c r="A11" s="102"/>
      <c r="B11" s="30" t="s">
        <v>10</v>
      </c>
      <c r="C11" s="34" t="s">
        <v>2</v>
      </c>
      <c r="D11" s="58">
        <f>'P一般'!D11+'P原料'!D11</f>
        <v>3233222</v>
      </c>
      <c r="E11" s="53">
        <f>'P一般'!E11+'P原料'!E11</f>
        <v>0</v>
      </c>
      <c r="F11" s="53">
        <f>'P一般'!F11+'P原料'!F11</f>
        <v>2068785</v>
      </c>
      <c r="G11" s="53">
        <f>'P一般'!G11+'P原料'!G11</f>
        <v>0</v>
      </c>
      <c r="H11" s="53">
        <f>'P一般'!H11+'P原料'!H11</f>
        <v>1948177</v>
      </c>
      <c r="I11" s="62">
        <f>'P一般'!I11+'P原料'!I11</f>
        <v>0</v>
      </c>
      <c r="J11" s="70">
        <f>'P一般'!J11</f>
        <v>7250184</v>
      </c>
      <c r="K11" s="66">
        <f>'P一般'!K11+'P原料'!K11</f>
        <v>2007758</v>
      </c>
      <c r="L11" s="53">
        <f>'P一般'!L11+'P原料'!L11</f>
        <v>772031</v>
      </c>
      <c r="M11" s="53">
        <f>'P一般'!M11+'P原料'!M11</f>
        <v>4268415</v>
      </c>
      <c r="N11" s="53">
        <f>'P一般'!N11+'P原料'!N11</f>
        <v>4319630</v>
      </c>
      <c r="O11" s="53">
        <f>'P一般'!O11+'P原料'!O11</f>
        <v>2495323</v>
      </c>
      <c r="P11" s="62">
        <f>'P一般'!P11+'P原料'!P11</f>
        <v>5060242</v>
      </c>
      <c r="Q11" s="70">
        <f>'P一般'!Q11</f>
        <v>18923399</v>
      </c>
      <c r="R11" s="66">
        <f>'P一般'!R11</f>
        <v>26173583</v>
      </c>
      <c r="S11" s="16"/>
    </row>
    <row r="12" spans="1:19" s="17" customFormat="1" ht="16.5" customHeight="1" thickBot="1">
      <c r="A12" s="103"/>
      <c r="B12" s="18" t="s">
        <v>42</v>
      </c>
      <c r="C12" s="35" t="s">
        <v>3</v>
      </c>
      <c r="D12" s="57">
        <f>IF(D10=0,,D11/D10*1000)</f>
        <v>52551.35310849248</v>
      </c>
      <c r="E12" s="52">
        <f>IF(E10=0,,E11/E10*1000)</f>
        <v>0</v>
      </c>
      <c r="F12" s="52">
        <f>IF(F10=0,,F11/F10*1000)</f>
        <v>40360.23645089547</v>
      </c>
      <c r="G12" s="52">
        <f aca="true" t="shared" si="2" ref="G12:R12">IF(G10=0,,G11/G10*1000)</f>
        <v>0</v>
      </c>
      <c r="H12" s="52">
        <f t="shared" si="2"/>
        <v>45956.24174372523</v>
      </c>
      <c r="I12" s="61">
        <f t="shared" si="2"/>
        <v>0</v>
      </c>
      <c r="J12" s="69">
        <f t="shared" si="2"/>
        <v>46722.629289511846</v>
      </c>
      <c r="K12" s="65">
        <f t="shared" si="2"/>
        <v>61193.477598293204</v>
      </c>
      <c r="L12" s="52">
        <f t="shared" si="2"/>
        <v>60967.46426597173</v>
      </c>
      <c r="M12" s="52">
        <f t="shared" si="2"/>
        <v>64425.015848099734</v>
      </c>
      <c r="N12" s="52">
        <f t="shared" si="2"/>
        <v>66984.50850559027</v>
      </c>
      <c r="O12" s="52">
        <f t="shared" si="2"/>
        <v>62924.22332055679</v>
      </c>
      <c r="P12" s="61">
        <f t="shared" si="2"/>
        <v>68884.3179961884</v>
      </c>
      <c r="Q12" s="69">
        <f t="shared" si="2"/>
        <v>65404.20626965748</v>
      </c>
      <c r="R12" s="65">
        <f t="shared" si="2"/>
        <v>58882.539004060694</v>
      </c>
      <c r="S12" s="49">
        <f>IF(S10=0,"",(S11/S10)*1000)</f>
      </c>
    </row>
    <row r="13" spans="1:19" s="17" customFormat="1" ht="16.5" customHeight="1">
      <c r="A13" s="101" t="s">
        <v>94</v>
      </c>
      <c r="B13" s="30" t="s">
        <v>9</v>
      </c>
      <c r="C13" s="34" t="s">
        <v>1</v>
      </c>
      <c r="D13" s="56">
        <f>'P一般'!D13+'P原料'!D13</f>
        <v>11428</v>
      </c>
      <c r="E13" s="51">
        <f>'P一般'!E13+'P原料'!E13</f>
        <v>0</v>
      </c>
      <c r="F13" s="51">
        <f>'P一般'!F13+'P原料'!F13</f>
        <v>0</v>
      </c>
      <c r="G13" s="51">
        <f>'P一般'!G13+'P原料'!G13</f>
        <v>0</v>
      </c>
      <c r="H13" s="51">
        <f>'P一般'!H13+'P原料'!H13</f>
        <v>0</v>
      </c>
      <c r="I13" s="60">
        <f>'P一般'!I13+'P原料'!I13</f>
        <v>0</v>
      </c>
      <c r="J13" s="68">
        <f>'P一般'!J13</f>
        <v>11428</v>
      </c>
      <c r="K13" s="64">
        <f>'P一般'!K13+'P原料'!K13</f>
        <v>0</v>
      </c>
      <c r="L13" s="51">
        <f>'P一般'!L13+'P原料'!L13</f>
        <v>19803</v>
      </c>
      <c r="M13" s="51">
        <f>'P一般'!M13+'P原料'!M13</f>
        <v>1512</v>
      </c>
      <c r="N13" s="51">
        <f>'P一般'!N13+'P原料'!N13</f>
        <v>10830</v>
      </c>
      <c r="O13" s="51">
        <f>'P一般'!O13+'P原料'!O13</f>
        <v>0</v>
      </c>
      <c r="P13" s="60">
        <f>'P一般'!P13+'P原料'!P13</f>
        <v>0</v>
      </c>
      <c r="Q13" s="68">
        <f>'P一般'!Q13</f>
        <v>32145</v>
      </c>
      <c r="R13" s="64">
        <f>'P一般'!R13</f>
        <v>43573</v>
      </c>
      <c r="S13" s="16"/>
    </row>
    <row r="14" spans="1:19" s="17" customFormat="1" ht="16.5" customHeight="1">
      <c r="A14" s="102"/>
      <c r="B14" s="30" t="s">
        <v>10</v>
      </c>
      <c r="C14" s="34" t="s">
        <v>2</v>
      </c>
      <c r="D14" s="58">
        <f>'P一般'!D14+'P原料'!D14</f>
        <v>523288</v>
      </c>
      <c r="E14" s="53">
        <f>'P一般'!E14+'P原料'!E14</f>
        <v>0</v>
      </c>
      <c r="F14" s="53">
        <f>'P一般'!F14+'P原料'!F14</f>
        <v>0</v>
      </c>
      <c r="G14" s="53">
        <f>'P一般'!G14+'P原料'!G14</f>
        <v>0</v>
      </c>
      <c r="H14" s="53">
        <f>'P一般'!H14+'P原料'!H14</f>
        <v>0</v>
      </c>
      <c r="I14" s="62">
        <f>'P一般'!I14+'P原料'!I14</f>
        <v>0</v>
      </c>
      <c r="J14" s="70">
        <f>'P一般'!J14</f>
        <v>523288</v>
      </c>
      <c r="K14" s="66">
        <f>'P一般'!K14+'P原料'!K14</f>
        <v>0</v>
      </c>
      <c r="L14" s="53">
        <f>'P一般'!L14+'P原料'!L14</f>
        <v>1216066</v>
      </c>
      <c r="M14" s="53">
        <f>'P一般'!M14+'P原料'!M14</f>
        <v>94038</v>
      </c>
      <c r="N14" s="53">
        <f>'P一般'!N14+'P原料'!N14</f>
        <v>735857</v>
      </c>
      <c r="O14" s="53">
        <f>'P一般'!O14+'P原料'!O14</f>
        <v>0</v>
      </c>
      <c r="P14" s="62">
        <f>'P一般'!P14+'P原料'!P14</f>
        <v>0</v>
      </c>
      <c r="Q14" s="70">
        <f>'P一般'!Q14</f>
        <v>2045961</v>
      </c>
      <c r="R14" s="66">
        <f>'P一般'!R14</f>
        <v>2569249</v>
      </c>
      <c r="S14" s="16"/>
    </row>
    <row r="15" spans="1:19" s="17" customFormat="1" ht="16.5" customHeight="1" thickBot="1">
      <c r="A15" s="103"/>
      <c r="B15" s="18" t="s">
        <v>42</v>
      </c>
      <c r="C15" s="35" t="s">
        <v>3</v>
      </c>
      <c r="D15" s="57">
        <f>IF(D13=0,,D14/D13*1000)</f>
        <v>45789.98949947498</v>
      </c>
      <c r="E15" s="52">
        <f>IF(E13=0,,E14/E13*1000)</f>
        <v>0</v>
      </c>
      <c r="F15" s="52">
        <f>IF(F13=0,,F14/F13*1000)</f>
        <v>0</v>
      </c>
      <c r="G15" s="52">
        <f aca="true" t="shared" si="3" ref="G15:R15">IF(G13=0,,G14/G13*1000)</f>
        <v>0</v>
      </c>
      <c r="H15" s="52">
        <f t="shared" si="3"/>
        <v>0</v>
      </c>
      <c r="I15" s="61">
        <f t="shared" si="3"/>
        <v>0</v>
      </c>
      <c r="J15" s="69">
        <f t="shared" si="3"/>
        <v>45789.98949947498</v>
      </c>
      <c r="K15" s="65">
        <f t="shared" si="3"/>
        <v>0</v>
      </c>
      <c r="L15" s="52">
        <f t="shared" si="3"/>
        <v>61408.170479220316</v>
      </c>
      <c r="M15" s="52">
        <f t="shared" si="3"/>
        <v>62194.444444444445</v>
      </c>
      <c r="N15" s="52">
        <f t="shared" si="3"/>
        <v>67946.16805170821</v>
      </c>
      <c r="O15" s="52">
        <f t="shared" si="3"/>
        <v>0</v>
      </c>
      <c r="P15" s="61">
        <f t="shared" si="3"/>
        <v>0</v>
      </c>
      <c r="Q15" s="69">
        <f t="shared" si="3"/>
        <v>63647.876808212786</v>
      </c>
      <c r="R15" s="65">
        <f t="shared" si="3"/>
        <v>58964.243912514634</v>
      </c>
      <c r="S15" s="46"/>
    </row>
    <row r="16" spans="1:19" s="17" customFormat="1" ht="16.5" customHeight="1">
      <c r="A16" s="101" t="s">
        <v>96</v>
      </c>
      <c r="B16" s="30" t="s">
        <v>9</v>
      </c>
      <c r="C16" s="34" t="s">
        <v>1</v>
      </c>
      <c r="D16" s="56">
        <f>'P一般'!D16+'P原料'!D16</f>
        <v>153833</v>
      </c>
      <c r="E16" s="51">
        <f>'P一般'!E16+'P原料'!E16</f>
        <v>62696</v>
      </c>
      <c r="F16" s="51">
        <f>'P一般'!F16+'P原料'!F16</f>
        <v>210881</v>
      </c>
      <c r="G16" s="51">
        <f>'P一般'!G16+'P原料'!G16</f>
        <v>164315</v>
      </c>
      <c r="H16" s="51">
        <f>'P一般'!H16+'P原料'!H16</f>
        <v>108127</v>
      </c>
      <c r="I16" s="60">
        <f>'P一般'!I16+'P原料'!I16</f>
        <v>155867</v>
      </c>
      <c r="J16" s="68">
        <f>'P一般'!J16</f>
        <v>855719</v>
      </c>
      <c r="K16" s="64">
        <f>'P一般'!K16+'P原料'!K16</f>
        <v>168405</v>
      </c>
      <c r="L16" s="51">
        <f>'P一般'!L16+'P原料'!L16</f>
        <v>247480</v>
      </c>
      <c r="M16" s="51">
        <f>'P一般'!M16+'P原料'!M16</f>
        <v>116301</v>
      </c>
      <c r="N16" s="51">
        <f>'P一般'!N16+'P原料'!N16</f>
        <v>196465</v>
      </c>
      <c r="O16" s="51">
        <f>'P一般'!O16+'P原料'!O16</f>
        <v>171861</v>
      </c>
      <c r="P16" s="60">
        <f>'P一般'!P16+'P原料'!P16</f>
        <v>310937</v>
      </c>
      <c r="Q16" s="68">
        <f>'P一般'!Q16</f>
        <v>1211449</v>
      </c>
      <c r="R16" s="64">
        <f>'P一般'!R16</f>
        <v>2067168</v>
      </c>
      <c r="S16" s="16"/>
    </row>
    <row r="17" spans="1:19" s="17" customFormat="1" ht="16.5" customHeight="1">
      <c r="A17" s="102"/>
      <c r="B17" s="30" t="s">
        <v>10</v>
      </c>
      <c r="C17" s="34" t="s">
        <v>2</v>
      </c>
      <c r="D17" s="56">
        <f>'P一般'!D17+'P原料'!D17</f>
        <v>6891282</v>
      </c>
      <c r="E17" s="51">
        <f>'P一般'!E17+'P原料'!E17</f>
        <v>2616686</v>
      </c>
      <c r="F17" s="51">
        <f>'P一般'!F17+'P原料'!F17</f>
        <v>8606066</v>
      </c>
      <c r="G17" s="51">
        <f>'P一般'!G17+'P原料'!G17</f>
        <v>7368787</v>
      </c>
      <c r="H17" s="51">
        <f>'P一般'!H17+'P原料'!H17</f>
        <v>5484290</v>
      </c>
      <c r="I17" s="60">
        <f>'P一般'!I17+'P原料'!I17</f>
        <v>8135785</v>
      </c>
      <c r="J17" s="68">
        <f>'P一般'!J17</f>
        <v>39102896</v>
      </c>
      <c r="K17" s="64">
        <f>'P一般'!K17+'P原料'!K17</f>
        <v>8897972</v>
      </c>
      <c r="L17" s="51">
        <f>'P一般'!L17+'P原料'!L17</f>
        <v>14593756</v>
      </c>
      <c r="M17" s="51">
        <f>'P一般'!M17+'P原料'!M17</f>
        <v>6583046</v>
      </c>
      <c r="N17" s="51">
        <f>'P一般'!N17+'P原料'!N17</f>
        <v>12981086</v>
      </c>
      <c r="O17" s="51">
        <f>'P一般'!O17+'P原料'!O17</f>
        <v>11528088</v>
      </c>
      <c r="P17" s="60">
        <f>'P一般'!P17+'P原料'!P17</f>
        <v>20694084</v>
      </c>
      <c r="Q17" s="68">
        <f>'P一般'!Q17</f>
        <v>75278032</v>
      </c>
      <c r="R17" s="64">
        <f>'P一般'!R17</f>
        <v>114380928</v>
      </c>
      <c r="S17" s="16"/>
    </row>
    <row r="18" spans="1:19" s="17" customFormat="1" ht="16.5" customHeight="1" thickBot="1">
      <c r="A18" s="103"/>
      <c r="B18" s="18" t="s">
        <v>42</v>
      </c>
      <c r="C18" s="35" t="s">
        <v>3</v>
      </c>
      <c r="D18" s="57">
        <f>IF(D16=0,,D17/D16*1000)</f>
        <v>44797.16315744996</v>
      </c>
      <c r="E18" s="52">
        <f>IF(E16=0,,E17/E16*1000)</f>
        <v>41736.091616690064</v>
      </c>
      <c r="F18" s="52">
        <f>IF(F16=0,,F17/F16*1000)</f>
        <v>40810.05875351502</v>
      </c>
      <c r="G18" s="52">
        <f aca="true" t="shared" si="4" ref="G18:R18">IF(G16=0,,G17/G16*1000)</f>
        <v>44845.49189057603</v>
      </c>
      <c r="H18" s="52">
        <f t="shared" si="4"/>
        <v>50720.819036873305</v>
      </c>
      <c r="I18" s="61">
        <f t="shared" si="4"/>
        <v>52196.96921092983</v>
      </c>
      <c r="J18" s="69">
        <f t="shared" si="4"/>
        <v>45695.95392880139</v>
      </c>
      <c r="K18" s="65">
        <f t="shared" si="4"/>
        <v>52836.7447522342</v>
      </c>
      <c r="L18" s="52">
        <f t="shared" si="4"/>
        <v>58969.43591401325</v>
      </c>
      <c r="M18" s="52">
        <f t="shared" si="4"/>
        <v>56603.52017609479</v>
      </c>
      <c r="N18" s="52">
        <f>IF(N16=0,,N17/N16*1000)</f>
        <v>66073.27513806529</v>
      </c>
      <c r="O18" s="52">
        <f>IF(O16=0,,O17/O16*1000)</f>
        <v>67077.97580602928</v>
      </c>
      <c r="P18" s="61">
        <f t="shared" si="4"/>
        <v>66553.94501136887</v>
      </c>
      <c r="Q18" s="69">
        <f t="shared" si="4"/>
        <v>62138.83704555454</v>
      </c>
      <c r="R18" s="65">
        <f t="shared" si="4"/>
        <v>55332.18780476478</v>
      </c>
      <c r="S18" s="46"/>
    </row>
    <row r="19" spans="1:19" s="17" customFormat="1" ht="16.5" customHeight="1">
      <c r="A19" s="110" t="s">
        <v>45</v>
      </c>
      <c r="B19" s="30" t="s">
        <v>9</v>
      </c>
      <c r="C19" s="34" t="s">
        <v>1</v>
      </c>
      <c r="D19" s="56">
        <f>'P一般'!D19+'P原料'!D19</f>
        <v>85371</v>
      </c>
      <c r="E19" s="51">
        <f>'P一般'!E19+'P原料'!E19</f>
        <v>97918</v>
      </c>
      <c r="F19" s="51">
        <f>'P一般'!F19+'P原料'!F19</f>
        <v>164096</v>
      </c>
      <c r="G19" s="51">
        <f>'P一般'!G19+'P原料'!G19</f>
        <v>169075</v>
      </c>
      <c r="H19" s="51">
        <f>'P一般'!H19+'P原料'!H19</f>
        <v>162067</v>
      </c>
      <c r="I19" s="60">
        <f>'P一般'!I19+'P原料'!I19</f>
        <v>137606</v>
      </c>
      <c r="J19" s="68">
        <f>'P一般'!J19</f>
        <v>816133</v>
      </c>
      <c r="K19" s="64">
        <f>'P一般'!K19+'P原料'!K19</f>
        <v>144488</v>
      </c>
      <c r="L19" s="51">
        <f>'P一般'!L19+'P原料'!L19</f>
        <v>136485</v>
      </c>
      <c r="M19" s="51">
        <f>'P一般'!M19+'P原料'!M19</f>
        <v>142515</v>
      </c>
      <c r="N19" s="51">
        <f>'P一般'!N19+'P原料'!N19</f>
        <v>154043</v>
      </c>
      <c r="O19" s="51">
        <f>'P一般'!O19+'P原料'!O19</f>
        <v>67294</v>
      </c>
      <c r="P19" s="60">
        <f>'P一般'!P19+'P原料'!P19</f>
        <v>177423</v>
      </c>
      <c r="Q19" s="68">
        <f>'P一般'!Q19</f>
        <v>822248</v>
      </c>
      <c r="R19" s="64">
        <f>'P一般'!R19</f>
        <v>1638381</v>
      </c>
      <c r="S19" s="16"/>
    </row>
    <row r="20" spans="1:19" s="17" customFormat="1" ht="16.5" customHeight="1">
      <c r="A20" s="111"/>
      <c r="B20" s="30" t="s">
        <v>10</v>
      </c>
      <c r="C20" s="34" t="s">
        <v>2</v>
      </c>
      <c r="D20" s="56">
        <f>'P一般'!D20+'P原料'!D20</f>
        <v>4062290</v>
      </c>
      <c r="E20" s="51">
        <f>'P一般'!E20+'P原料'!E20</f>
        <v>4095257</v>
      </c>
      <c r="F20" s="51">
        <f>'P一般'!F20+'P原料'!F20</f>
        <v>6619395</v>
      </c>
      <c r="G20" s="51">
        <f>'P一般'!G20+'P原料'!G20</f>
        <v>7307767</v>
      </c>
      <c r="H20" s="51">
        <f>'P一般'!H20+'P原料'!H20</f>
        <v>7581680</v>
      </c>
      <c r="I20" s="60">
        <f>'P一般'!I20+'P原料'!I20</f>
        <v>6511187</v>
      </c>
      <c r="J20" s="68">
        <f>'P一般'!J20</f>
        <v>36177576</v>
      </c>
      <c r="K20" s="64">
        <f>'P一般'!K20+'P原料'!K20</f>
        <v>7277765</v>
      </c>
      <c r="L20" s="51">
        <f>'P一般'!L20+'P原料'!L20</f>
        <v>7259461</v>
      </c>
      <c r="M20" s="51">
        <f>'P一般'!M20+'P原料'!M20</f>
        <v>8365562</v>
      </c>
      <c r="N20" s="51">
        <f>'P一般'!N20+'P原料'!N20</f>
        <v>9106265</v>
      </c>
      <c r="O20" s="51">
        <f>'P一般'!O20+'P原料'!O20</f>
        <v>4473681</v>
      </c>
      <c r="P20" s="60">
        <f>'P一般'!P20+'P原料'!P20</f>
        <v>12113397</v>
      </c>
      <c r="Q20" s="68">
        <f>'P一般'!Q20</f>
        <v>48596131</v>
      </c>
      <c r="R20" s="64">
        <f>'P一般'!R20</f>
        <v>84773707</v>
      </c>
      <c r="S20" s="16"/>
    </row>
    <row r="21" spans="1:19" s="17" customFormat="1" ht="16.5" customHeight="1" thickBot="1">
      <c r="A21" s="112"/>
      <c r="B21" s="18" t="s">
        <v>42</v>
      </c>
      <c r="C21" s="35" t="s">
        <v>3</v>
      </c>
      <c r="D21" s="57">
        <f>IF(D19=0,,D20/D19*1000)</f>
        <v>47583.95708144452</v>
      </c>
      <c r="E21" s="52">
        <f>IF(E19=0,,E20/E19*1000)</f>
        <v>41823.331767397205</v>
      </c>
      <c r="F21" s="52">
        <f>IF(F19=0,,F20/F19*1000)</f>
        <v>40338.55182332293</v>
      </c>
      <c r="G21" s="52">
        <f aca="true" t="shared" si="5" ref="G21:R21">IF(G19=0,,G20/G19*1000)</f>
        <v>43222.04347183203</v>
      </c>
      <c r="H21" s="52">
        <f t="shared" si="5"/>
        <v>46781.14606921829</v>
      </c>
      <c r="I21" s="61">
        <f t="shared" si="5"/>
        <v>47317.60969725157</v>
      </c>
      <c r="J21" s="69">
        <f t="shared" si="5"/>
        <v>44328.039670004764</v>
      </c>
      <c r="K21" s="65">
        <f t="shared" si="5"/>
        <v>50369.33863019766</v>
      </c>
      <c r="L21" s="52">
        <f t="shared" si="5"/>
        <v>53188.70938198337</v>
      </c>
      <c r="M21" s="52">
        <f t="shared" si="5"/>
        <v>58699.51934884048</v>
      </c>
      <c r="N21" s="52">
        <f t="shared" si="5"/>
        <v>59115.08474906357</v>
      </c>
      <c r="O21" s="52">
        <f t="shared" si="5"/>
        <v>66479.64157279996</v>
      </c>
      <c r="P21" s="61">
        <f t="shared" si="5"/>
        <v>68274.10764106119</v>
      </c>
      <c r="Q21" s="69">
        <f t="shared" si="5"/>
        <v>59101.54965411896</v>
      </c>
      <c r="R21" s="65">
        <f t="shared" si="5"/>
        <v>51742.36456599533</v>
      </c>
      <c r="S21" s="46"/>
    </row>
    <row r="22" spans="1:19" s="17" customFormat="1" ht="16.5" customHeight="1">
      <c r="A22" s="101" t="s">
        <v>53</v>
      </c>
      <c r="B22" s="30" t="s">
        <v>9</v>
      </c>
      <c r="C22" s="34" t="s">
        <v>1</v>
      </c>
      <c r="D22" s="56">
        <f>'P一般'!D22+'P原料'!D22</f>
        <v>66166</v>
      </c>
      <c r="E22" s="51">
        <f>'P一般'!E22+'P原料'!E22</f>
        <v>44093</v>
      </c>
      <c r="F22" s="51">
        <f>'P一般'!F22+'P原料'!F22</f>
        <v>30924</v>
      </c>
      <c r="G22" s="51">
        <f>'P一般'!G22+'P原料'!G22</f>
        <v>49192</v>
      </c>
      <c r="H22" s="51">
        <f>'P一般'!H22+'P原料'!H22</f>
        <v>46927</v>
      </c>
      <c r="I22" s="60">
        <f>'P一般'!I22+'P原料'!I22</f>
        <v>33284</v>
      </c>
      <c r="J22" s="68">
        <f>'P一般'!J22</f>
        <v>270586</v>
      </c>
      <c r="K22" s="64">
        <f>'P一般'!K22+'P原料'!K22</f>
        <v>72226</v>
      </c>
      <c r="L22" s="51">
        <f>'P一般'!L22+'P原料'!L22</f>
        <v>13766</v>
      </c>
      <c r="M22" s="51">
        <f>'P一般'!M22+'P原料'!M22</f>
        <v>55702</v>
      </c>
      <c r="N22" s="51">
        <f>'P一般'!N22+'P原料'!N22</f>
        <v>68464</v>
      </c>
      <c r="O22" s="51">
        <f>'P一般'!O22+'P原料'!O22</f>
        <v>25028</v>
      </c>
      <c r="P22" s="60">
        <f>'P一般'!P22+'P原料'!P22</f>
        <v>85645</v>
      </c>
      <c r="Q22" s="68">
        <f>'P一般'!Q22</f>
        <v>320831</v>
      </c>
      <c r="R22" s="64">
        <f>'P一般'!R22</f>
        <v>591417</v>
      </c>
      <c r="S22" s="16"/>
    </row>
    <row r="23" spans="1:19" s="17" customFormat="1" ht="16.5" customHeight="1">
      <c r="A23" s="102"/>
      <c r="B23" s="30" t="s">
        <v>10</v>
      </c>
      <c r="C23" s="34" t="s">
        <v>2</v>
      </c>
      <c r="D23" s="56">
        <f>'P一般'!D23+'P原料'!D23</f>
        <v>3181495</v>
      </c>
      <c r="E23" s="51">
        <f>'P一般'!E23+'P原料'!E23</f>
        <v>1997850</v>
      </c>
      <c r="F23" s="51">
        <f>'P一般'!F23+'P原料'!F23</f>
        <v>1240392</v>
      </c>
      <c r="G23" s="51">
        <f>'P一般'!G23+'P原料'!G23</f>
        <v>2160353</v>
      </c>
      <c r="H23" s="51">
        <f>'P一般'!H23+'P原料'!H23</f>
        <v>2350731</v>
      </c>
      <c r="I23" s="60">
        <f>'P一般'!I23+'P原料'!I23</f>
        <v>1693216</v>
      </c>
      <c r="J23" s="68">
        <f>'P一般'!J23</f>
        <v>12624037</v>
      </c>
      <c r="K23" s="64">
        <f>'P一般'!K23+'P原料'!K23</f>
        <v>3732008</v>
      </c>
      <c r="L23" s="51">
        <f>'P一般'!L23+'P原料'!L23</f>
        <v>783945</v>
      </c>
      <c r="M23" s="51">
        <f>'P一般'!M23+'P原料'!M23</f>
        <v>3538281</v>
      </c>
      <c r="N23" s="51">
        <f>'P一般'!N23+'P原料'!N23</f>
        <v>4503208</v>
      </c>
      <c r="O23" s="51">
        <f>'P一般'!O23+'P原料'!O23</f>
        <v>1693945</v>
      </c>
      <c r="P23" s="60">
        <f>'P一般'!P23+'P原料'!P23</f>
        <v>5883930</v>
      </c>
      <c r="Q23" s="68">
        <f>'P一般'!Q23</f>
        <v>20135317</v>
      </c>
      <c r="R23" s="64">
        <f>'P一般'!R23</f>
        <v>32759354</v>
      </c>
      <c r="S23" s="16"/>
    </row>
    <row r="24" spans="1:19" s="17" customFormat="1" ht="16.5" customHeight="1" thickBot="1">
      <c r="A24" s="103"/>
      <c r="B24" s="18" t="s">
        <v>42</v>
      </c>
      <c r="C24" s="35" t="s">
        <v>3</v>
      </c>
      <c r="D24" s="57">
        <f>IF(D22=0,,D23/D22*1000)</f>
        <v>48083.53232778164</v>
      </c>
      <c r="E24" s="52">
        <f>IF(E22=0,,E23/E22*1000)</f>
        <v>45309.91313813984</v>
      </c>
      <c r="F24" s="52">
        <f>IF(F22=0,,F23/F22*1000)</f>
        <v>40110.981761738454</v>
      </c>
      <c r="G24" s="52">
        <f aca="true" t="shared" si="6" ref="G24:R24">IF(G22=0,,G23/G22*1000)</f>
        <v>43916.754756871036</v>
      </c>
      <c r="H24" s="52">
        <f t="shared" si="6"/>
        <v>50093.35776844887</v>
      </c>
      <c r="I24" s="61">
        <f t="shared" si="6"/>
        <v>50871.770219925485</v>
      </c>
      <c r="J24" s="69">
        <f t="shared" si="6"/>
        <v>46654.43518881243</v>
      </c>
      <c r="K24" s="65">
        <f t="shared" si="6"/>
        <v>51671.25411901531</v>
      </c>
      <c r="L24" s="52">
        <f t="shared" si="6"/>
        <v>56947.91515327618</v>
      </c>
      <c r="M24" s="52">
        <f t="shared" si="6"/>
        <v>63521.6150227999</v>
      </c>
      <c r="N24" s="52">
        <f t="shared" si="6"/>
        <v>65774.8305678897</v>
      </c>
      <c r="O24" s="52">
        <f t="shared" si="6"/>
        <v>67681.996164296</v>
      </c>
      <c r="P24" s="61">
        <f t="shared" si="6"/>
        <v>68701.3836184249</v>
      </c>
      <c r="Q24" s="69">
        <f t="shared" si="6"/>
        <v>62759.88604592449</v>
      </c>
      <c r="R24" s="65">
        <f t="shared" si="6"/>
        <v>55391.29582003899</v>
      </c>
      <c r="S24" s="46"/>
    </row>
    <row r="25" spans="1:19" s="17" customFormat="1" ht="16.5" customHeight="1">
      <c r="A25" s="101" t="s">
        <v>54</v>
      </c>
      <c r="B25" s="30" t="s">
        <v>9</v>
      </c>
      <c r="C25" s="34" t="s">
        <v>1</v>
      </c>
      <c r="D25" s="56">
        <f>'P一般'!D25+'P原料'!D25</f>
        <v>677</v>
      </c>
      <c r="E25" s="51">
        <f>'P一般'!E25+'P原料'!E25</f>
        <v>0</v>
      </c>
      <c r="F25" s="51">
        <f>'P一般'!F25+'P原料'!F25</f>
        <v>0</v>
      </c>
      <c r="G25" s="51">
        <f>'P一般'!G25+'P原料'!G25</f>
        <v>0</v>
      </c>
      <c r="H25" s="51">
        <f>'P一般'!H25+'P原料'!H25</f>
        <v>0</v>
      </c>
      <c r="I25" s="60">
        <f>'P一般'!I25+'P原料'!I25</f>
        <v>0</v>
      </c>
      <c r="J25" s="68">
        <f>'P一般'!J25</f>
        <v>677</v>
      </c>
      <c r="K25" s="64">
        <f>'P一般'!K25+'P原料'!K25</f>
        <v>0</v>
      </c>
      <c r="L25" s="51">
        <f>'P一般'!L25+'P原料'!L25</f>
        <v>0</v>
      </c>
      <c r="M25" s="51">
        <f>'P一般'!M25+'P原料'!M25</f>
        <v>0</v>
      </c>
      <c r="N25" s="51">
        <f>'P一般'!N25+'P原料'!N25</f>
        <v>441</v>
      </c>
      <c r="O25" s="51">
        <f>'P一般'!O25+'P原料'!O25</f>
        <v>0</v>
      </c>
      <c r="P25" s="60">
        <f>'P一般'!P25+'P原料'!P25</f>
        <v>0</v>
      </c>
      <c r="Q25" s="68">
        <f>'P一般'!Q25</f>
        <v>441</v>
      </c>
      <c r="R25" s="64">
        <f>'P一般'!R25</f>
        <v>1118</v>
      </c>
      <c r="S25" s="16"/>
    </row>
    <row r="26" spans="1:19" s="17" customFormat="1" ht="16.5" customHeight="1">
      <c r="A26" s="102"/>
      <c r="B26" s="30" t="s">
        <v>10</v>
      </c>
      <c r="C26" s="34" t="s">
        <v>2</v>
      </c>
      <c r="D26" s="56">
        <f>'P一般'!D26+'P原料'!D26</f>
        <v>36275</v>
      </c>
      <c r="E26" s="51">
        <f>'P一般'!E26+'P原料'!E26</f>
        <v>0</v>
      </c>
      <c r="F26" s="51">
        <f>'P一般'!F26+'P原料'!F26</f>
        <v>0</v>
      </c>
      <c r="G26" s="51">
        <f>'P一般'!G26+'P原料'!G26</f>
        <v>0</v>
      </c>
      <c r="H26" s="51">
        <f>'P一般'!H26+'P原料'!H26</f>
        <v>0</v>
      </c>
      <c r="I26" s="60">
        <f>'P一般'!I26+'P原料'!I26</f>
        <v>0</v>
      </c>
      <c r="J26" s="68">
        <f>'P一般'!J26</f>
        <v>36275</v>
      </c>
      <c r="K26" s="64">
        <f>'P一般'!K26+'P原料'!K26</f>
        <v>0</v>
      </c>
      <c r="L26" s="51">
        <f>'P一般'!L26+'P原料'!L26</f>
        <v>0</v>
      </c>
      <c r="M26" s="51">
        <f>'P一般'!M26+'P原料'!M26</f>
        <v>0</v>
      </c>
      <c r="N26" s="51">
        <f>'P一般'!N26+'P原料'!N26</f>
        <v>24912</v>
      </c>
      <c r="O26" s="51">
        <f>'P一般'!O26+'P原料'!O26</f>
        <v>0</v>
      </c>
      <c r="P26" s="60">
        <f>'P一般'!P26+'P原料'!P26</f>
        <v>0</v>
      </c>
      <c r="Q26" s="68">
        <f>'P一般'!Q26</f>
        <v>24912</v>
      </c>
      <c r="R26" s="64">
        <f>'P一般'!R26</f>
        <v>61187</v>
      </c>
      <c r="S26" s="16"/>
    </row>
    <row r="27" spans="1:19" s="17" customFormat="1" ht="16.5" customHeight="1" thickBot="1">
      <c r="A27" s="103"/>
      <c r="B27" s="18" t="s">
        <v>42</v>
      </c>
      <c r="C27" s="35" t="s">
        <v>3</v>
      </c>
      <c r="D27" s="57">
        <f>IF(D25=0,,D26/D25*1000)</f>
        <v>53581.979320531755</v>
      </c>
      <c r="E27" s="52">
        <f>IF(E25=0,,E26/E25*1000)</f>
        <v>0</v>
      </c>
      <c r="F27" s="52">
        <f>IF(F25=0,,F26/F25*1000)</f>
        <v>0</v>
      </c>
      <c r="G27" s="52">
        <f aca="true" t="shared" si="7" ref="G27:R27">IF(G25=0,,G26/G25*1000)</f>
        <v>0</v>
      </c>
      <c r="H27" s="52">
        <f t="shared" si="7"/>
        <v>0</v>
      </c>
      <c r="I27" s="61">
        <f t="shared" si="7"/>
        <v>0</v>
      </c>
      <c r="J27" s="69">
        <f t="shared" si="7"/>
        <v>53581.979320531755</v>
      </c>
      <c r="K27" s="65">
        <f t="shared" si="7"/>
        <v>0</v>
      </c>
      <c r="L27" s="52">
        <f t="shared" si="7"/>
        <v>0</v>
      </c>
      <c r="M27" s="52">
        <f t="shared" si="7"/>
        <v>0</v>
      </c>
      <c r="N27" s="52">
        <f t="shared" si="7"/>
        <v>56489.79591836735</v>
      </c>
      <c r="O27" s="52">
        <f t="shared" si="7"/>
        <v>0</v>
      </c>
      <c r="P27" s="61">
        <f t="shared" si="7"/>
        <v>0</v>
      </c>
      <c r="Q27" s="69">
        <f t="shared" si="7"/>
        <v>56489.79591836735</v>
      </c>
      <c r="R27" s="65">
        <f t="shared" si="7"/>
        <v>54728.98032200358</v>
      </c>
      <c r="S27" s="46"/>
    </row>
    <row r="28" spans="1:19" s="17" customFormat="1" ht="16.5" customHeight="1">
      <c r="A28" s="101" t="s">
        <v>11</v>
      </c>
      <c r="B28" s="30" t="s">
        <v>9</v>
      </c>
      <c r="C28" s="34" t="s">
        <v>1</v>
      </c>
      <c r="D28" s="56">
        <f>'P一般'!D28+'P原料'!D28</f>
        <v>0</v>
      </c>
      <c r="E28" s="51">
        <f>'P一般'!E28+'P原料'!E28</f>
        <v>0</v>
      </c>
      <c r="F28" s="51">
        <f>'P一般'!F28+'P原料'!F28</f>
        <v>0</v>
      </c>
      <c r="G28" s="51">
        <f>'P一般'!G28+'P原料'!G28</f>
        <v>0</v>
      </c>
      <c r="H28" s="51">
        <f>'P一般'!H28+'P原料'!H28</f>
        <v>0</v>
      </c>
      <c r="I28" s="60">
        <f>'P一般'!I28+'P原料'!I28</f>
        <v>0</v>
      </c>
      <c r="J28" s="68">
        <f>'P一般'!J28</f>
        <v>0</v>
      </c>
      <c r="K28" s="64">
        <f>'P一般'!K28+'P原料'!K28</f>
        <v>0</v>
      </c>
      <c r="L28" s="51">
        <f>'P一般'!L28+'P原料'!L28</f>
        <v>0</v>
      </c>
      <c r="M28" s="51">
        <f>'P一般'!M28+'P原料'!M28</f>
        <v>0</v>
      </c>
      <c r="N28" s="51">
        <f>'P一般'!N28+'P原料'!N28</f>
        <v>0</v>
      </c>
      <c r="O28" s="51">
        <f>'P一般'!O28+'P原料'!O28</f>
        <v>0</v>
      </c>
      <c r="P28" s="60">
        <f>'P一般'!P28+'P原料'!P28</f>
        <v>0</v>
      </c>
      <c r="Q28" s="68">
        <f>'P一般'!Q28</f>
        <v>0</v>
      </c>
      <c r="R28" s="64">
        <f>'P一般'!R28</f>
        <v>0</v>
      </c>
      <c r="S28" s="16"/>
    </row>
    <row r="29" spans="1:19" s="17" customFormat="1" ht="16.5" customHeight="1">
      <c r="A29" s="102"/>
      <c r="B29" s="30" t="s">
        <v>10</v>
      </c>
      <c r="C29" s="34" t="s">
        <v>2</v>
      </c>
      <c r="D29" s="56">
        <f>'P一般'!D29+'P原料'!D29</f>
        <v>0</v>
      </c>
      <c r="E29" s="51">
        <f>'P一般'!E29+'P原料'!E29</f>
        <v>0</v>
      </c>
      <c r="F29" s="51">
        <f>'P一般'!F29+'P原料'!F29</f>
        <v>0</v>
      </c>
      <c r="G29" s="51">
        <f>'P一般'!G29+'P原料'!G29</f>
        <v>0</v>
      </c>
      <c r="H29" s="51">
        <f>'P一般'!H29+'P原料'!H29</f>
        <v>0</v>
      </c>
      <c r="I29" s="60">
        <f>'P一般'!I29+'P原料'!I29</f>
        <v>0</v>
      </c>
      <c r="J29" s="68">
        <f>'P一般'!J29</f>
        <v>0</v>
      </c>
      <c r="K29" s="64">
        <f>'P一般'!K29+'P原料'!K29</f>
        <v>0</v>
      </c>
      <c r="L29" s="51">
        <f>'P一般'!L29+'P原料'!L29</f>
        <v>0</v>
      </c>
      <c r="M29" s="51">
        <f>'P一般'!M29+'P原料'!M29</f>
        <v>0</v>
      </c>
      <c r="N29" s="51">
        <f>'P一般'!N29+'P原料'!N29</f>
        <v>0</v>
      </c>
      <c r="O29" s="51">
        <f>'P一般'!O29+'P原料'!O29</f>
        <v>0</v>
      </c>
      <c r="P29" s="60">
        <f>'P一般'!P29+'P原料'!P29</f>
        <v>0</v>
      </c>
      <c r="Q29" s="68">
        <f>'P一般'!Q29</f>
        <v>0</v>
      </c>
      <c r="R29" s="64">
        <f>'P一般'!R29</f>
        <v>0</v>
      </c>
      <c r="S29" s="16"/>
    </row>
    <row r="30" spans="1:19" s="17" customFormat="1" ht="16.5" customHeight="1" thickBot="1">
      <c r="A30" s="103"/>
      <c r="B30" s="18" t="s">
        <v>42</v>
      </c>
      <c r="C30" s="35" t="s">
        <v>3</v>
      </c>
      <c r="D30" s="57">
        <f>IF(D28=0,,D29/D28*1000)</f>
        <v>0</v>
      </c>
      <c r="E30" s="52">
        <f>IF(E28=0,,E29/E28*1000)</f>
        <v>0</v>
      </c>
      <c r="F30" s="52">
        <f>IF(F28=0,,F29/F28*1000)</f>
        <v>0</v>
      </c>
      <c r="G30" s="52">
        <f aca="true" t="shared" si="8" ref="G30:R30">IF(G28=0,,G29/G28*1000)</f>
        <v>0</v>
      </c>
      <c r="H30" s="52">
        <f t="shared" si="8"/>
        <v>0</v>
      </c>
      <c r="I30" s="61">
        <f t="shared" si="8"/>
        <v>0</v>
      </c>
      <c r="J30" s="69">
        <f t="shared" si="8"/>
        <v>0</v>
      </c>
      <c r="K30" s="65">
        <f t="shared" si="8"/>
        <v>0</v>
      </c>
      <c r="L30" s="52">
        <f t="shared" si="8"/>
        <v>0</v>
      </c>
      <c r="M30" s="52">
        <f t="shared" si="8"/>
        <v>0</v>
      </c>
      <c r="N30" s="52">
        <f t="shared" si="8"/>
        <v>0</v>
      </c>
      <c r="O30" s="52">
        <f t="shared" si="8"/>
        <v>0</v>
      </c>
      <c r="P30" s="61">
        <f t="shared" si="8"/>
        <v>0</v>
      </c>
      <c r="Q30" s="69">
        <f t="shared" si="8"/>
        <v>0</v>
      </c>
      <c r="R30" s="65">
        <f t="shared" si="8"/>
        <v>0</v>
      </c>
      <c r="S30" s="46"/>
    </row>
    <row r="31" spans="1:19" s="17" customFormat="1" ht="16.5" customHeight="1">
      <c r="A31" s="101" t="s">
        <v>55</v>
      </c>
      <c r="B31" s="30" t="s">
        <v>9</v>
      </c>
      <c r="C31" s="34" t="s">
        <v>1</v>
      </c>
      <c r="D31" s="56">
        <f>'P一般'!D31+'P原料'!D31</f>
        <v>29914</v>
      </c>
      <c r="E31" s="51">
        <f>'P一般'!E31+'P原料'!E31</f>
        <v>12079</v>
      </c>
      <c r="F31" s="51">
        <f>'P一般'!F31+'P原料'!F31</f>
        <v>0</v>
      </c>
      <c r="G31" s="51">
        <f>'P一般'!G31+'P原料'!G31</f>
        <v>0</v>
      </c>
      <c r="H31" s="51">
        <f>'P一般'!H31+'P原料'!H31</f>
        <v>0</v>
      </c>
      <c r="I31" s="60">
        <f>'P一般'!I31+'P原料'!I31</f>
        <v>0</v>
      </c>
      <c r="J31" s="68">
        <f>'P一般'!J31</f>
        <v>41993</v>
      </c>
      <c r="K31" s="64">
        <f>'P一般'!K31+'P原料'!K31</f>
        <v>44967</v>
      </c>
      <c r="L31" s="51">
        <f>'P一般'!L31+'P原料'!L31</f>
        <v>0</v>
      </c>
      <c r="M31" s="51">
        <f>'P一般'!M31+'P原料'!M31</f>
        <v>69086</v>
      </c>
      <c r="N31" s="51">
        <f>'P一般'!N31+'P原料'!N31</f>
        <v>23156</v>
      </c>
      <c r="O31" s="51">
        <f>'P一般'!O31+'P原料'!O31</f>
        <v>0</v>
      </c>
      <c r="P31" s="60">
        <f>'P一般'!P31+'P原料'!P31</f>
        <v>0</v>
      </c>
      <c r="Q31" s="68">
        <f>'P一般'!Q31</f>
        <v>137209</v>
      </c>
      <c r="R31" s="64">
        <f>'P一般'!R31</f>
        <v>179202</v>
      </c>
      <c r="S31" s="16"/>
    </row>
    <row r="32" spans="1:19" s="17" customFormat="1" ht="16.5" customHeight="1">
      <c r="A32" s="102"/>
      <c r="B32" s="30" t="s">
        <v>10</v>
      </c>
      <c r="C32" s="34" t="s">
        <v>2</v>
      </c>
      <c r="D32" s="58">
        <f>'P一般'!D32+'P原料'!D32</f>
        <v>1264884</v>
      </c>
      <c r="E32" s="53">
        <f>'P一般'!E32+'P原料'!E32</f>
        <v>503953</v>
      </c>
      <c r="F32" s="53">
        <f>'P一般'!F32+'P原料'!F32</f>
        <v>0</v>
      </c>
      <c r="G32" s="53">
        <f>'P一般'!G32+'P原料'!G32</f>
        <v>0</v>
      </c>
      <c r="H32" s="53">
        <f>'P一般'!H32+'P原料'!H32</f>
        <v>0</v>
      </c>
      <c r="I32" s="62">
        <f>'P一般'!I32+'P原料'!I32</f>
        <v>0</v>
      </c>
      <c r="J32" s="70">
        <f>'P一般'!J32</f>
        <v>1768837</v>
      </c>
      <c r="K32" s="66">
        <f>'P一般'!K32+'P原料'!K32</f>
        <v>2197478</v>
      </c>
      <c r="L32" s="53">
        <f>'P一般'!L32+'P原料'!L32</f>
        <v>0</v>
      </c>
      <c r="M32" s="53">
        <f>'P一般'!M32+'P原料'!M32</f>
        <v>4267496</v>
      </c>
      <c r="N32" s="53">
        <f>'P一般'!N32+'P原料'!N32</f>
        <v>1546447</v>
      </c>
      <c r="O32" s="53">
        <f>'P一般'!O32+'P原料'!O32</f>
        <v>0</v>
      </c>
      <c r="P32" s="62">
        <f>'P一般'!P32+'P原料'!P32</f>
        <v>0</v>
      </c>
      <c r="Q32" s="70">
        <f>'P一般'!Q32</f>
        <v>8011421</v>
      </c>
      <c r="R32" s="66">
        <f>'P一般'!R32</f>
        <v>9780258</v>
      </c>
      <c r="S32" s="16"/>
    </row>
    <row r="33" spans="1:19" s="17" customFormat="1" ht="16.5" customHeight="1" thickBot="1">
      <c r="A33" s="103"/>
      <c r="B33" s="18" t="s">
        <v>42</v>
      </c>
      <c r="C33" s="35" t="s">
        <v>3</v>
      </c>
      <c r="D33" s="57">
        <f>IF(D31=0,,D32/D31*1000)</f>
        <v>42284.01417396537</v>
      </c>
      <c r="E33" s="52">
        <f>IF(E31=0,,E32/E31*1000)</f>
        <v>41721.417335872175</v>
      </c>
      <c r="F33" s="52">
        <f>IF(F31=0,,F32/F31*1000)</f>
        <v>0</v>
      </c>
      <c r="G33" s="52">
        <f aca="true" t="shared" si="9" ref="G33:R33">IF(G31=0,,G32/G31*1000)</f>
        <v>0</v>
      </c>
      <c r="H33" s="52">
        <f t="shared" si="9"/>
        <v>0</v>
      </c>
      <c r="I33" s="61">
        <f t="shared" si="9"/>
        <v>0</v>
      </c>
      <c r="J33" s="69">
        <f t="shared" si="9"/>
        <v>42122.18703117186</v>
      </c>
      <c r="K33" s="65">
        <f t="shared" si="9"/>
        <v>48868.68147752796</v>
      </c>
      <c r="L33" s="52">
        <f t="shared" si="9"/>
        <v>0</v>
      </c>
      <c r="M33" s="52">
        <f t="shared" si="9"/>
        <v>61770.778450047765</v>
      </c>
      <c r="N33" s="52">
        <f t="shared" si="9"/>
        <v>66783.85731559855</v>
      </c>
      <c r="O33" s="52">
        <f t="shared" si="9"/>
        <v>0</v>
      </c>
      <c r="P33" s="61">
        <f t="shared" si="9"/>
        <v>0</v>
      </c>
      <c r="Q33" s="69">
        <f t="shared" si="9"/>
        <v>58388.45119489246</v>
      </c>
      <c r="R33" s="65">
        <f t="shared" si="9"/>
        <v>54576.72347406837</v>
      </c>
      <c r="S33" s="46"/>
    </row>
    <row r="34" spans="1:19" s="17" customFormat="1" ht="16.5" customHeight="1">
      <c r="A34" s="101" t="s">
        <v>56</v>
      </c>
      <c r="B34" s="30" t="s">
        <v>9</v>
      </c>
      <c r="C34" s="34" t="s">
        <v>1</v>
      </c>
      <c r="D34" s="56">
        <f>'P一般'!D34+'P原料'!D34</f>
        <v>0</v>
      </c>
      <c r="E34" s="51">
        <f>'P一般'!E34+'P原料'!E34</f>
        <v>10936</v>
      </c>
      <c r="F34" s="51">
        <f>'P一般'!F34+'P原料'!F34</f>
        <v>12094</v>
      </c>
      <c r="G34" s="51">
        <f>'P一般'!G34+'P原料'!G34</f>
        <v>21364</v>
      </c>
      <c r="H34" s="51">
        <f>'P一般'!H34+'P原料'!H34</f>
        <v>0</v>
      </c>
      <c r="I34" s="60">
        <f>'P一般'!I34+'P原料'!I34</f>
        <v>0</v>
      </c>
      <c r="J34" s="68">
        <f>'P一般'!J34</f>
        <v>44394</v>
      </c>
      <c r="K34" s="64">
        <f>'P一般'!K34+'P原料'!K34</f>
        <v>2004</v>
      </c>
      <c r="L34" s="51">
        <f>'P一般'!L34+'P原料'!L34</f>
        <v>5110</v>
      </c>
      <c r="M34" s="51">
        <f>'P一般'!M34+'P原料'!M34</f>
        <v>0</v>
      </c>
      <c r="N34" s="51">
        <f>'P一般'!N34+'P原料'!N34</f>
        <v>9499</v>
      </c>
      <c r="O34" s="51">
        <f>'P一般'!O34+'P原料'!O34</f>
        <v>0</v>
      </c>
      <c r="P34" s="60">
        <f>'P一般'!P34+'P原料'!P34</f>
        <v>0</v>
      </c>
      <c r="Q34" s="68">
        <f>'P一般'!Q34</f>
        <v>16613</v>
      </c>
      <c r="R34" s="64">
        <f>'P一般'!R34</f>
        <v>61007</v>
      </c>
      <c r="S34" s="16"/>
    </row>
    <row r="35" spans="1:19" s="17" customFormat="1" ht="16.5" customHeight="1">
      <c r="A35" s="102"/>
      <c r="B35" s="30" t="s">
        <v>10</v>
      </c>
      <c r="C35" s="34" t="s">
        <v>2</v>
      </c>
      <c r="D35" s="56">
        <f>'P一般'!D35+'P原料'!D35</f>
        <v>0</v>
      </c>
      <c r="E35" s="51">
        <f>'P一般'!E35+'P原料'!E35</f>
        <v>461592</v>
      </c>
      <c r="F35" s="51">
        <f>'P一般'!F35+'P原料'!F35</f>
        <v>474347</v>
      </c>
      <c r="G35" s="51">
        <f>'P一般'!G35+'P原料'!G35</f>
        <v>1096401</v>
      </c>
      <c r="H35" s="51">
        <f>'P一般'!H35+'P原料'!H35</f>
        <v>0</v>
      </c>
      <c r="I35" s="60">
        <f>'P一般'!I35+'P原料'!I35</f>
        <v>0</v>
      </c>
      <c r="J35" s="68">
        <f>'P一般'!J35</f>
        <v>2032340</v>
      </c>
      <c r="K35" s="64">
        <f>'P一般'!K35+'P原料'!K35</f>
        <v>106970</v>
      </c>
      <c r="L35" s="51">
        <f>'P一般'!L35+'P原料'!L35</f>
        <v>276910</v>
      </c>
      <c r="M35" s="51">
        <f>'P一般'!M35+'P原料'!M35</f>
        <v>0</v>
      </c>
      <c r="N35" s="51">
        <f>'P一般'!N35+'P原料'!N35</f>
        <v>672605</v>
      </c>
      <c r="O35" s="51">
        <f>'P一般'!O35+'P原料'!O35</f>
        <v>0</v>
      </c>
      <c r="P35" s="60">
        <f>'P一般'!P35+'P原料'!P35</f>
        <v>0</v>
      </c>
      <c r="Q35" s="68">
        <f>'P一般'!Q35</f>
        <v>1056485</v>
      </c>
      <c r="R35" s="64">
        <f>'P一般'!R35</f>
        <v>3088825</v>
      </c>
      <c r="S35" s="16"/>
    </row>
    <row r="36" spans="1:19" s="17" customFormat="1" ht="16.5" customHeight="1" thickBot="1">
      <c r="A36" s="103"/>
      <c r="B36" s="18" t="s">
        <v>42</v>
      </c>
      <c r="C36" s="35" t="s">
        <v>3</v>
      </c>
      <c r="D36" s="57">
        <f>IF(D34=0,,D35/D34*1000)</f>
        <v>0</v>
      </c>
      <c r="E36" s="52">
        <f>IF(E34=0,,E35/E34*1000)</f>
        <v>42208.48573518654</v>
      </c>
      <c r="F36" s="52">
        <f>IF(F34=0,,F35/F34*1000)</f>
        <v>39221.68017198611</v>
      </c>
      <c r="G36" s="52">
        <f aca="true" t="shared" si="10" ref="G36:R36">IF(G34=0,,G35/G34*1000)</f>
        <v>51320.02434001124</v>
      </c>
      <c r="H36" s="52">
        <f t="shared" si="10"/>
        <v>0</v>
      </c>
      <c r="I36" s="61">
        <f t="shared" si="10"/>
        <v>0</v>
      </c>
      <c r="J36" s="69">
        <f t="shared" si="10"/>
        <v>45779.609857187905</v>
      </c>
      <c r="K36" s="65">
        <f t="shared" si="10"/>
        <v>53378.243512974055</v>
      </c>
      <c r="L36" s="52">
        <f t="shared" si="10"/>
        <v>54189.823874755384</v>
      </c>
      <c r="M36" s="52">
        <f t="shared" si="10"/>
        <v>0</v>
      </c>
      <c r="N36" s="52">
        <f t="shared" si="10"/>
        <v>70807.97978734605</v>
      </c>
      <c r="O36" s="52">
        <f t="shared" si="10"/>
        <v>0</v>
      </c>
      <c r="P36" s="61">
        <f t="shared" si="10"/>
        <v>0</v>
      </c>
      <c r="Q36" s="69">
        <f t="shared" si="10"/>
        <v>63593.872268705236</v>
      </c>
      <c r="R36" s="65">
        <f t="shared" si="10"/>
        <v>50630.66533348632</v>
      </c>
      <c r="S36" s="46"/>
    </row>
    <row r="37" spans="1:19" s="17" customFormat="1" ht="16.5" customHeight="1">
      <c r="A37" s="101" t="s">
        <v>12</v>
      </c>
      <c r="B37" s="30" t="s">
        <v>9</v>
      </c>
      <c r="C37" s="34" t="s">
        <v>1</v>
      </c>
      <c r="D37" s="59">
        <f>'P一般'!D37+'P原料'!D37</f>
        <v>62871</v>
      </c>
      <c r="E37" s="54">
        <f>'P一般'!E37+'P原料'!E37</f>
        <v>3</v>
      </c>
      <c r="F37" s="54">
        <f>'P一般'!F37+'P原料'!F37</f>
        <v>79226</v>
      </c>
      <c r="G37" s="54">
        <f>'P一般'!G37+'P原料'!G37</f>
        <v>8899</v>
      </c>
      <c r="H37" s="54">
        <f>'P一般'!H37+'P原料'!H37</f>
        <v>2</v>
      </c>
      <c r="I37" s="63">
        <f>'P一般'!I37+'P原料'!I37</f>
        <v>6</v>
      </c>
      <c r="J37" s="71">
        <f>'P一般'!J37</f>
        <v>151007</v>
      </c>
      <c r="K37" s="67">
        <f>'P一般'!K37+'P原料'!K37</f>
        <v>11382</v>
      </c>
      <c r="L37" s="54">
        <f>'P一般'!L37+'P原料'!L37</f>
        <v>16393</v>
      </c>
      <c r="M37" s="54">
        <f>'P一般'!M37+'P原料'!M37</f>
        <v>2</v>
      </c>
      <c r="N37" s="54">
        <f>'P一般'!N37+'P原料'!N37</f>
        <v>2</v>
      </c>
      <c r="O37" s="54">
        <f>'P一般'!O37+'P原料'!O37</f>
        <v>33570</v>
      </c>
      <c r="P37" s="63">
        <f>'P一般'!P37+'P原料'!P37</f>
        <v>42031</v>
      </c>
      <c r="Q37" s="71">
        <f>'P一般'!Q37</f>
        <v>103380</v>
      </c>
      <c r="R37" s="67">
        <f>'P一般'!R37</f>
        <v>254387</v>
      </c>
      <c r="S37" s="16"/>
    </row>
    <row r="38" spans="1:19" s="17" customFormat="1" ht="16.5" customHeight="1">
      <c r="A38" s="102"/>
      <c r="B38" s="30" t="s">
        <v>10</v>
      </c>
      <c r="C38" s="34" t="s">
        <v>2</v>
      </c>
      <c r="D38" s="58">
        <f>'P一般'!D38+'P原料'!D38</f>
        <v>2689688</v>
      </c>
      <c r="E38" s="53">
        <f>'P一般'!E38+'P原料'!E38</f>
        <v>4225</v>
      </c>
      <c r="F38" s="53">
        <f>'P一般'!F38+'P原料'!F38</f>
        <v>3342858</v>
      </c>
      <c r="G38" s="53">
        <f>'P一般'!G38+'P原料'!G38</f>
        <v>425563</v>
      </c>
      <c r="H38" s="53">
        <f>'P一般'!H38+'P原料'!H38</f>
        <v>1068</v>
      </c>
      <c r="I38" s="62">
        <f>'P一般'!I38+'P原料'!I38</f>
        <v>3463</v>
      </c>
      <c r="J38" s="70">
        <f>'P一般'!J38</f>
        <v>6466865</v>
      </c>
      <c r="K38" s="66">
        <f>'P一般'!K38+'P原料'!K38</f>
        <v>616935</v>
      </c>
      <c r="L38" s="53">
        <f>'P一般'!L38+'P原料'!L38</f>
        <v>752720</v>
      </c>
      <c r="M38" s="53">
        <f>'P一般'!M38+'P原料'!M38</f>
        <v>1471</v>
      </c>
      <c r="N38" s="53">
        <f>'P一般'!N38+'P原料'!N38</f>
        <v>1167</v>
      </c>
      <c r="O38" s="53">
        <f>'P一般'!O38+'P原料'!O38</f>
        <v>2242205</v>
      </c>
      <c r="P38" s="62">
        <f>'P一般'!P38+'P原料'!P38</f>
        <v>2743102</v>
      </c>
      <c r="Q38" s="70">
        <f>'P一般'!Q38</f>
        <v>6357600</v>
      </c>
      <c r="R38" s="66">
        <f>'P一般'!R38</f>
        <v>12824465</v>
      </c>
      <c r="S38" s="16"/>
    </row>
    <row r="39" spans="1:19" s="17" customFormat="1" ht="16.5" customHeight="1" thickBot="1">
      <c r="A39" s="103"/>
      <c r="B39" s="18" t="s">
        <v>42</v>
      </c>
      <c r="C39" s="35" t="s">
        <v>3</v>
      </c>
      <c r="D39" s="57">
        <f>IF(D37=0,,D38/D37*1000)</f>
        <v>42781.05963003611</v>
      </c>
      <c r="E39" s="52">
        <f>IF(E37=0,,E38/E37*1000)</f>
        <v>1408333.3333333333</v>
      </c>
      <c r="F39" s="52">
        <f>IF(F37=0,,F38/F37*1000)</f>
        <v>42193.951480574564</v>
      </c>
      <c r="G39" s="52">
        <f aca="true" t="shared" si="11" ref="G39:R39">IF(G37=0,,G38/G37*1000)</f>
        <v>47821.440611304635</v>
      </c>
      <c r="H39" s="52">
        <f t="shared" si="11"/>
        <v>534000</v>
      </c>
      <c r="I39" s="61">
        <f t="shared" si="11"/>
        <v>577166.6666666666</v>
      </c>
      <c r="J39" s="69">
        <f t="shared" si="11"/>
        <v>42824.935267901485</v>
      </c>
      <c r="K39" s="65">
        <f t="shared" si="11"/>
        <v>54202.68845545599</v>
      </c>
      <c r="L39" s="52">
        <f t="shared" si="11"/>
        <v>45917.159763313604</v>
      </c>
      <c r="M39" s="52">
        <f t="shared" si="11"/>
        <v>735500</v>
      </c>
      <c r="N39" s="52">
        <f t="shared" si="11"/>
        <v>583500</v>
      </c>
      <c r="O39" s="52">
        <f t="shared" si="11"/>
        <v>66791.927316056</v>
      </c>
      <c r="P39" s="61">
        <f t="shared" si="11"/>
        <v>65263.781494611125</v>
      </c>
      <c r="Q39" s="69">
        <f t="shared" si="11"/>
        <v>61497.38827626233</v>
      </c>
      <c r="R39" s="65">
        <f t="shared" si="11"/>
        <v>50413.20900832197</v>
      </c>
      <c r="S39" s="46"/>
    </row>
    <row r="40" spans="1:19" s="17" customFormat="1" ht="16.5" customHeight="1">
      <c r="A40" s="101" t="s">
        <v>4</v>
      </c>
      <c r="B40" s="30" t="s">
        <v>9</v>
      </c>
      <c r="C40" s="34" t="s">
        <v>1</v>
      </c>
      <c r="D40" s="59">
        <f>'P一般'!D40+'P原料'!D40</f>
        <v>728357</v>
      </c>
      <c r="E40" s="54">
        <f>'P一般'!E40+'P原料'!E40</f>
        <v>552050</v>
      </c>
      <c r="F40" s="54">
        <f>'P一般'!F40+'P原料'!F40</f>
        <v>784165</v>
      </c>
      <c r="G40" s="54">
        <f>'P一般'!G40+'P原料'!G40</f>
        <v>632235</v>
      </c>
      <c r="H40" s="54">
        <f>'P一般'!H40+'P原料'!H40</f>
        <v>605389</v>
      </c>
      <c r="I40" s="63">
        <f>'P一般'!I40+'P原料'!I40</f>
        <v>720024</v>
      </c>
      <c r="J40" s="71">
        <f>'P一般'!J40</f>
        <v>4022220</v>
      </c>
      <c r="K40" s="67">
        <f>'P一般'!K40+'P原料'!K40</f>
        <v>698237</v>
      </c>
      <c r="L40" s="54">
        <f>'P一般'!L40+'P原料'!L40</f>
        <v>851883</v>
      </c>
      <c r="M40" s="54">
        <f>'P一般'!M40+'P原料'!M40</f>
        <v>720677</v>
      </c>
      <c r="N40" s="54">
        <f>'P一般'!N40+'P原料'!N40</f>
        <v>802231</v>
      </c>
      <c r="O40" s="54">
        <f>'P一般'!O40+'P原料'!O40</f>
        <v>592057</v>
      </c>
      <c r="P40" s="63">
        <f>'P一般'!P40+'P原料'!P40</f>
        <v>867697</v>
      </c>
      <c r="Q40" s="71">
        <f>'P一般'!Q40</f>
        <v>4532782</v>
      </c>
      <c r="R40" s="67">
        <f>'P一般'!R40</f>
        <v>8555002</v>
      </c>
      <c r="S40" s="16"/>
    </row>
    <row r="41" spans="1:19" s="17" customFormat="1" ht="16.5" customHeight="1">
      <c r="A41" s="102"/>
      <c r="B41" s="30" t="s">
        <v>10</v>
      </c>
      <c r="C41" s="34" t="s">
        <v>2</v>
      </c>
      <c r="D41" s="58">
        <f>'P一般'!D41+'P原料'!D41</f>
        <v>33971150</v>
      </c>
      <c r="E41" s="53">
        <f>'P一般'!E41+'P原料'!E41</f>
        <v>23824301</v>
      </c>
      <c r="F41" s="53">
        <f>'P一般'!F41+'P原料'!F41</f>
        <v>32060669</v>
      </c>
      <c r="G41" s="53">
        <f>'P一般'!G41+'P原料'!G41</f>
        <v>28159302</v>
      </c>
      <c r="H41" s="53">
        <f>'P一般'!H41+'P原料'!H41</f>
        <v>29628037</v>
      </c>
      <c r="I41" s="62">
        <f>'P一般'!I41+'P原料'!I41</f>
        <v>36409215</v>
      </c>
      <c r="J41" s="70">
        <f>'P一般'!J41</f>
        <v>184052674</v>
      </c>
      <c r="K41" s="66">
        <f>'P一般'!K41+'P原料'!K41</f>
        <v>36552346</v>
      </c>
      <c r="L41" s="53">
        <f>'P一般'!L41+'P原料'!L41</f>
        <v>48194734</v>
      </c>
      <c r="M41" s="53">
        <f>'P一般'!M41+'P原料'!M41</f>
        <v>43201535</v>
      </c>
      <c r="N41" s="53">
        <f>'P一般'!N41+'P原料'!N41</f>
        <v>52658671</v>
      </c>
      <c r="O41" s="53">
        <f>'P一般'!O41+'P原料'!O41</f>
        <v>39957632</v>
      </c>
      <c r="P41" s="62">
        <f>'P一般'!P41+'P原料'!P41</f>
        <v>58610339</v>
      </c>
      <c r="Q41" s="70">
        <f>'P一般'!Q41</f>
        <v>279175257</v>
      </c>
      <c r="R41" s="66">
        <f>'P一般'!R41</f>
        <v>463227931</v>
      </c>
      <c r="S41" s="16"/>
    </row>
    <row r="42" spans="1:19" s="17" customFormat="1" ht="16.5" customHeight="1" thickBot="1">
      <c r="A42" s="103"/>
      <c r="B42" s="18" t="s">
        <v>42</v>
      </c>
      <c r="C42" s="35" t="s">
        <v>3</v>
      </c>
      <c r="D42" s="57">
        <f>IF(D40=0,,D41/D40*1000)</f>
        <v>46640.79565377967</v>
      </c>
      <c r="E42" s="52">
        <f>IF(E40=0,,E41/E40*1000)</f>
        <v>43156.05651661987</v>
      </c>
      <c r="F42" s="52">
        <f>IF(F40=0,,F41/F40*1000)</f>
        <v>40885.105813189824</v>
      </c>
      <c r="G42" s="52">
        <f aca="true" t="shared" si="12" ref="G42:R42">IF(G40=0,,G41/G40*1000)</f>
        <v>44539.29630596218</v>
      </c>
      <c r="H42" s="52">
        <f t="shared" si="12"/>
        <v>48940.49445893466</v>
      </c>
      <c r="I42" s="61">
        <f t="shared" si="12"/>
        <v>50566.6686110463</v>
      </c>
      <c r="J42" s="69">
        <f t="shared" si="12"/>
        <v>45758.97738065048</v>
      </c>
      <c r="K42" s="65">
        <f t="shared" si="12"/>
        <v>52349.483055180404</v>
      </c>
      <c r="L42" s="52">
        <f t="shared" si="12"/>
        <v>56574.35821585828</v>
      </c>
      <c r="M42" s="52">
        <f t="shared" si="12"/>
        <v>59945.766272546505</v>
      </c>
      <c r="N42" s="52">
        <f t="shared" si="12"/>
        <v>65640.28440686037</v>
      </c>
      <c r="O42" s="52">
        <f t="shared" si="12"/>
        <v>67489.50185539568</v>
      </c>
      <c r="P42" s="61">
        <f t="shared" si="12"/>
        <v>67547.01122626908</v>
      </c>
      <c r="Q42" s="69">
        <f t="shared" si="12"/>
        <v>61590.26774285638</v>
      </c>
      <c r="R42" s="65">
        <f t="shared" si="12"/>
        <v>54147.027785615945</v>
      </c>
      <c r="S42" s="46"/>
    </row>
    <row r="43" spans="1:19" s="17" customFormat="1" ht="24" customHeight="1" thickBot="1">
      <c r="A43" s="108" t="s">
        <v>13</v>
      </c>
      <c r="B43" s="109"/>
      <c r="C43" s="116"/>
      <c r="D43" s="74">
        <f>'総合計'!D43</f>
        <v>98.82</v>
      </c>
      <c r="E43" s="75">
        <f>'総合計'!E43</f>
        <v>97.81</v>
      </c>
      <c r="F43" s="75">
        <f>'総合計'!F43</f>
        <v>96.17</v>
      </c>
      <c r="G43" s="75">
        <f>'総合計'!G43</f>
        <v>95.09</v>
      </c>
      <c r="H43" s="75">
        <f>'総合計'!H43</f>
        <v>94.97</v>
      </c>
      <c r="I43" s="76">
        <f>'総合計'!I43</f>
        <v>93.05</v>
      </c>
      <c r="J43" s="77">
        <f>'総合計'!J43</f>
        <v>95.92</v>
      </c>
      <c r="K43" s="78">
        <f>'総合計'!K43</f>
        <v>89.99</v>
      </c>
      <c r="L43" s="75">
        <f>'総合計'!L43</f>
        <v>90.61</v>
      </c>
      <c r="M43" s="75">
        <f>'総合計'!M43</f>
        <v>88.33</v>
      </c>
      <c r="N43" s="75">
        <f>'総合計'!N43</f>
        <v>91.61</v>
      </c>
      <c r="O43" s="75">
        <f>'総合計'!O43</f>
        <v>90.22</v>
      </c>
      <c r="P43" s="76">
        <f>'総合計'!P43</f>
        <v>90.11</v>
      </c>
      <c r="Q43" s="77">
        <f>'総合計'!Q43</f>
        <v>90.16</v>
      </c>
      <c r="R43" s="79">
        <f>'総合計'!R43</f>
        <v>92.97</v>
      </c>
      <c r="S43" s="16"/>
    </row>
    <row r="44" ht="12.75">
      <c r="A44" s="97" t="str">
        <f>'総合計'!A53</f>
        <v>※数値はすべて確定値。</v>
      </c>
    </row>
  </sheetData>
  <mergeCells count="15">
    <mergeCell ref="D1:P1"/>
    <mergeCell ref="A4:A6"/>
    <mergeCell ref="A7:A9"/>
    <mergeCell ref="A10:A12"/>
    <mergeCell ref="A13:A15"/>
    <mergeCell ref="A16:A18"/>
    <mergeCell ref="A19:A21"/>
    <mergeCell ref="A22:A24"/>
    <mergeCell ref="A37:A39"/>
    <mergeCell ref="A40:A42"/>
    <mergeCell ref="A43:C43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71" r:id="rId2"/>
  <headerFooter alignWithMargins="0">
    <oddFooter>&amp;C&amp;20-4-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showZeros="0" zoomScale="55" zoomScaleNormal="55" zoomScaleSheetLayoutView="85" workbookViewId="0" topLeftCell="A1">
      <pane xSplit="3" ySplit="3" topLeftCell="D4" activePane="bottomRight" state="frozen"/>
      <selection pane="topLeft" activeCell="Q43" sqref="Q43"/>
      <selection pane="topRight" activeCell="Q43" sqref="Q43"/>
      <selection pane="bottomLeft" activeCell="Q43" sqref="Q43"/>
      <selection pane="bottomRight" activeCell="Q43" sqref="Q43"/>
    </sheetView>
  </sheetViews>
  <sheetFormatPr defaultColWidth="9.140625" defaultRowHeight="12.75"/>
  <cols>
    <col min="1" max="1" width="14.421875" style="0" customWidth="1"/>
    <col min="4" max="9" width="10.7109375" style="0" customWidth="1"/>
    <col min="10" max="10" width="11.28125" style="0" customWidth="1"/>
    <col min="11" max="16" width="10.7109375" style="0" customWidth="1"/>
    <col min="17" max="18" width="11.28125" style="0" customWidth="1"/>
    <col min="19" max="19" width="4.00390625" style="0" customWidth="1"/>
  </cols>
  <sheetData>
    <row r="1" spans="1:16" ht="27" customHeight="1">
      <c r="A1" s="13" t="s">
        <v>14</v>
      </c>
      <c r="B1" s="10" t="s">
        <v>93</v>
      </c>
      <c r="C1" s="1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8" ht="18" customHeight="1" thickBot="1">
      <c r="A2" s="12" t="s">
        <v>0</v>
      </c>
      <c r="B2" s="15" t="s">
        <v>92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8">
        <f>'総合計'!Q2</f>
        <v>40616</v>
      </c>
    </row>
    <row r="3" spans="1:19" ht="24" customHeight="1" thickBot="1">
      <c r="A3" s="28" t="s">
        <v>35</v>
      </c>
      <c r="B3" s="29"/>
      <c r="C3" s="29"/>
      <c r="D3" s="21" t="s">
        <v>16</v>
      </c>
      <c r="E3" s="23" t="s">
        <v>17</v>
      </c>
      <c r="F3" s="23" t="s">
        <v>18</v>
      </c>
      <c r="G3" s="23" t="s">
        <v>19</v>
      </c>
      <c r="H3" s="23" t="s">
        <v>20</v>
      </c>
      <c r="I3" s="24" t="s">
        <v>21</v>
      </c>
      <c r="J3" s="25" t="s">
        <v>22</v>
      </c>
      <c r="K3" s="24" t="s">
        <v>23</v>
      </c>
      <c r="L3" s="23" t="s">
        <v>24</v>
      </c>
      <c r="M3" s="23" t="s">
        <v>25</v>
      </c>
      <c r="N3" s="23" t="s">
        <v>26</v>
      </c>
      <c r="O3" s="23" t="s">
        <v>27</v>
      </c>
      <c r="P3" s="24" t="s">
        <v>28</v>
      </c>
      <c r="Q3" s="25" t="s">
        <v>29</v>
      </c>
      <c r="R3" s="26" t="s">
        <v>30</v>
      </c>
      <c r="S3" s="5"/>
    </row>
    <row r="4" spans="1:19" s="17" customFormat="1" ht="16.5" customHeight="1">
      <c r="A4" s="101" t="s">
        <v>41</v>
      </c>
      <c r="B4" s="30" t="s">
        <v>9</v>
      </c>
      <c r="C4" s="33" t="s">
        <v>1</v>
      </c>
      <c r="D4" s="83">
        <v>99776</v>
      </c>
      <c r="E4" s="51">
        <v>272179</v>
      </c>
      <c r="F4" s="51">
        <v>171437</v>
      </c>
      <c r="G4" s="51">
        <v>160171</v>
      </c>
      <c r="H4" s="51">
        <v>152972</v>
      </c>
      <c r="I4" s="80">
        <v>286140</v>
      </c>
      <c r="J4" s="73">
        <f>SUM(D4:I4)</f>
        <v>1142675</v>
      </c>
      <c r="K4" s="80">
        <v>138031</v>
      </c>
      <c r="L4" s="51">
        <v>240437</v>
      </c>
      <c r="M4" s="51">
        <v>159403</v>
      </c>
      <c r="N4" s="51">
        <v>215330</v>
      </c>
      <c r="O4" s="51">
        <v>202653</v>
      </c>
      <c r="P4" s="80">
        <v>105172</v>
      </c>
      <c r="Q4" s="73">
        <f>SUM(K4:P4)</f>
        <v>1061026</v>
      </c>
      <c r="R4" s="64">
        <f>J4+Q4</f>
        <v>2203701</v>
      </c>
      <c r="S4" s="16"/>
    </row>
    <row r="5" spans="1:19" s="17" customFormat="1" ht="16.5" customHeight="1">
      <c r="A5" s="102"/>
      <c r="B5" s="30" t="s">
        <v>10</v>
      </c>
      <c r="C5" s="34" t="s">
        <v>2</v>
      </c>
      <c r="D5" s="83">
        <v>4478912</v>
      </c>
      <c r="E5" s="51">
        <v>12027390</v>
      </c>
      <c r="F5" s="51">
        <v>7150730</v>
      </c>
      <c r="G5" s="51">
        <v>6894585</v>
      </c>
      <c r="H5" s="51">
        <v>7772257</v>
      </c>
      <c r="I5" s="80">
        <v>14823590</v>
      </c>
      <c r="J5" s="68">
        <f>SUM(D5:I5)</f>
        <v>53147464</v>
      </c>
      <c r="K5" s="81">
        <v>7251955</v>
      </c>
      <c r="L5" s="53">
        <v>13284691</v>
      </c>
      <c r="M5" s="53">
        <v>10004159</v>
      </c>
      <c r="N5" s="53">
        <v>14847455</v>
      </c>
      <c r="O5" s="53">
        <v>13972201</v>
      </c>
      <c r="P5" s="81">
        <v>7292405</v>
      </c>
      <c r="Q5" s="68">
        <f>SUM(K5:P5)</f>
        <v>66652866</v>
      </c>
      <c r="R5" s="64">
        <f>J5+Q5</f>
        <v>119800330</v>
      </c>
      <c r="S5" s="16"/>
    </row>
    <row r="6" spans="1:19" s="17" customFormat="1" ht="16.5" customHeight="1" thickBot="1">
      <c r="A6" s="103"/>
      <c r="B6" s="18" t="s">
        <v>42</v>
      </c>
      <c r="C6" s="35" t="s">
        <v>3</v>
      </c>
      <c r="D6" s="84">
        <f aca="true" t="shared" si="0" ref="D6:I6">IF(D4=0,,D5/D4*1000)</f>
        <v>44889.67286722258</v>
      </c>
      <c r="E6" s="52">
        <f t="shared" si="0"/>
        <v>44189.265152712</v>
      </c>
      <c r="F6" s="52">
        <f t="shared" si="0"/>
        <v>41710.54089840583</v>
      </c>
      <c r="G6" s="52">
        <f t="shared" si="0"/>
        <v>43045.15174407352</v>
      </c>
      <c r="H6" s="52">
        <f t="shared" si="0"/>
        <v>50808.36362210078</v>
      </c>
      <c r="I6" s="82">
        <f t="shared" si="0"/>
        <v>51805.374991263016</v>
      </c>
      <c r="J6" s="69">
        <f aca="true" t="shared" si="1" ref="J6:P6">IF(J4=0,,J5/J4*1000)</f>
        <v>46511.44376134946</v>
      </c>
      <c r="K6" s="82">
        <f t="shared" si="1"/>
        <v>52538.59640225746</v>
      </c>
      <c r="L6" s="52">
        <f t="shared" si="1"/>
        <v>55252.27398445331</v>
      </c>
      <c r="M6" s="52">
        <f t="shared" si="1"/>
        <v>62760.167625452465</v>
      </c>
      <c r="N6" s="52">
        <f t="shared" si="1"/>
        <v>68952.09678168393</v>
      </c>
      <c r="O6" s="52">
        <f t="shared" si="1"/>
        <v>68946.430598116</v>
      </c>
      <c r="P6" s="82">
        <f t="shared" si="1"/>
        <v>69337.89411630473</v>
      </c>
      <c r="Q6" s="69">
        <f>IF(Q4=0,,Q5/Q4*1000)</f>
        <v>62819.257963518336</v>
      </c>
      <c r="R6" s="65">
        <f>IF(R4=0,,R5/R4*1000)</f>
        <v>54363.24165574187</v>
      </c>
      <c r="S6" s="46"/>
    </row>
    <row r="7" spans="1:19" s="17" customFormat="1" ht="16.5" customHeight="1">
      <c r="A7" s="101" t="s">
        <v>51</v>
      </c>
      <c r="B7" s="30" t="s">
        <v>9</v>
      </c>
      <c r="C7" s="34" t="s">
        <v>1</v>
      </c>
      <c r="D7" s="83">
        <v>156796</v>
      </c>
      <c r="E7" s="51">
        <v>52146</v>
      </c>
      <c r="F7" s="51">
        <v>64249</v>
      </c>
      <c r="G7" s="51">
        <v>59219</v>
      </c>
      <c r="H7" s="51">
        <v>92902</v>
      </c>
      <c r="I7" s="80">
        <v>107121</v>
      </c>
      <c r="J7" s="68">
        <f>SUM(D7:I7)</f>
        <v>532433</v>
      </c>
      <c r="K7" s="80">
        <v>83924</v>
      </c>
      <c r="L7" s="51">
        <v>159746</v>
      </c>
      <c r="M7" s="51">
        <v>109902</v>
      </c>
      <c r="N7" s="51">
        <v>59514</v>
      </c>
      <c r="O7" s="51">
        <v>51995</v>
      </c>
      <c r="P7" s="80">
        <v>73029</v>
      </c>
      <c r="Q7" s="68">
        <f>SUM(K7:P7)</f>
        <v>538110</v>
      </c>
      <c r="R7" s="64">
        <f>J7+Q7</f>
        <v>1070543</v>
      </c>
      <c r="S7" s="16"/>
    </row>
    <row r="8" spans="1:19" s="17" customFormat="1" ht="16.5" customHeight="1">
      <c r="A8" s="102"/>
      <c r="B8" s="30" t="s">
        <v>10</v>
      </c>
      <c r="C8" s="34" t="s">
        <v>2</v>
      </c>
      <c r="D8" s="83">
        <v>7609814</v>
      </c>
      <c r="E8" s="51">
        <v>2117348</v>
      </c>
      <c r="F8" s="51">
        <v>2558096</v>
      </c>
      <c r="G8" s="51">
        <v>2905846</v>
      </c>
      <c r="H8" s="51">
        <v>4489834</v>
      </c>
      <c r="I8" s="80">
        <v>5241974</v>
      </c>
      <c r="J8" s="68">
        <f>SUM(D8:I8)</f>
        <v>24922912</v>
      </c>
      <c r="K8" s="81">
        <v>4463505</v>
      </c>
      <c r="L8" s="53">
        <v>9255154</v>
      </c>
      <c r="M8" s="53">
        <v>6079067</v>
      </c>
      <c r="N8" s="53">
        <v>3920039</v>
      </c>
      <c r="O8" s="53">
        <v>3552189</v>
      </c>
      <c r="P8" s="81">
        <v>4823179</v>
      </c>
      <c r="Q8" s="68">
        <f>SUM(K8:P8)</f>
        <v>32093133</v>
      </c>
      <c r="R8" s="64">
        <f>J8+Q8</f>
        <v>57016045</v>
      </c>
      <c r="S8" s="16"/>
    </row>
    <row r="9" spans="1:19" s="17" customFormat="1" ht="16.5" customHeight="1" thickBot="1">
      <c r="A9" s="103"/>
      <c r="B9" s="18" t="s">
        <v>42</v>
      </c>
      <c r="C9" s="35" t="s">
        <v>3</v>
      </c>
      <c r="D9" s="84">
        <f aca="true" t="shared" si="2" ref="D9:I9">IF(D7=0,,D8/D7*1000)</f>
        <v>48533.215133039106</v>
      </c>
      <c r="E9" s="52">
        <f t="shared" si="2"/>
        <v>40604.22659456143</v>
      </c>
      <c r="F9" s="52">
        <f t="shared" si="2"/>
        <v>39815.34342946972</v>
      </c>
      <c r="G9" s="52">
        <f t="shared" si="2"/>
        <v>49069.48783329675</v>
      </c>
      <c r="H9" s="52">
        <f t="shared" si="2"/>
        <v>48328.7119760608</v>
      </c>
      <c r="I9" s="82">
        <f t="shared" si="2"/>
        <v>48935.07342164468</v>
      </c>
      <c r="J9" s="69">
        <f aca="true" t="shared" si="3" ref="J9:P9">IF(J7=0,,J8/J7*1000)</f>
        <v>46809.48025385354</v>
      </c>
      <c r="K9" s="82">
        <f t="shared" si="3"/>
        <v>53185.084123730994</v>
      </c>
      <c r="L9" s="52">
        <f t="shared" si="3"/>
        <v>57936.68699059757</v>
      </c>
      <c r="M9" s="52">
        <f t="shared" si="3"/>
        <v>55313.52477661917</v>
      </c>
      <c r="N9" s="52">
        <f t="shared" si="3"/>
        <v>65867.5101656753</v>
      </c>
      <c r="O9" s="52">
        <f t="shared" si="3"/>
        <v>68317.8959515338</v>
      </c>
      <c r="P9" s="82">
        <f t="shared" si="3"/>
        <v>66044.70826657904</v>
      </c>
      <c r="Q9" s="69">
        <f>IF(Q7=0,,Q8/Q7*1000)</f>
        <v>59640.46942075041</v>
      </c>
      <c r="R9" s="65">
        <f>IF(R7=0,,R8/R7*1000)</f>
        <v>53258.995668553245</v>
      </c>
      <c r="S9" s="16"/>
    </row>
    <row r="10" spans="1:19" s="17" customFormat="1" ht="16.5" customHeight="1">
      <c r="A10" s="101" t="s">
        <v>52</v>
      </c>
      <c r="B10" s="30" t="s">
        <v>9</v>
      </c>
      <c r="C10" s="34" t="s">
        <v>1</v>
      </c>
      <c r="D10" s="83">
        <v>61525</v>
      </c>
      <c r="E10" s="51"/>
      <c r="F10" s="51">
        <v>51258</v>
      </c>
      <c r="G10" s="51"/>
      <c r="H10" s="51">
        <v>42392</v>
      </c>
      <c r="I10" s="80"/>
      <c r="J10" s="68">
        <f>SUM(D10:I10)</f>
        <v>155175</v>
      </c>
      <c r="K10" s="80">
        <v>32810</v>
      </c>
      <c r="L10" s="51">
        <v>12663</v>
      </c>
      <c r="M10" s="51">
        <v>66254</v>
      </c>
      <c r="N10" s="51">
        <v>64487</v>
      </c>
      <c r="O10" s="51">
        <v>39656</v>
      </c>
      <c r="P10" s="80">
        <v>73460</v>
      </c>
      <c r="Q10" s="68">
        <f>SUM(K10:P10)</f>
        <v>289330</v>
      </c>
      <c r="R10" s="64">
        <f>J10+Q10</f>
        <v>444505</v>
      </c>
      <c r="S10" s="16"/>
    </row>
    <row r="11" spans="1:19" s="17" customFormat="1" ht="16.5" customHeight="1">
      <c r="A11" s="102"/>
      <c r="B11" s="30" t="s">
        <v>10</v>
      </c>
      <c r="C11" s="34" t="s">
        <v>2</v>
      </c>
      <c r="D11" s="83">
        <v>3233222</v>
      </c>
      <c r="E11" s="51"/>
      <c r="F11" s="51">
        <v>2068785</v>
      </c>
      <c r="G11" s="51"/>
      <c r="H11" s="51">
        <v>1948177</v>
      </c>
      <c r="I11" s="80"/>
      <c r="J11" s="70">
        <f>SUM(D11:I11)</f>
        <v>7250184</v>
      </c>
      <c r="K11" s="81">
        <v>2007758</v>
      </c>
      <c r="L11" s="53">
        <v>772031</v>
      </c>
      <c r="M11" s="53">
        <v>4268415</v>
      </c>
      <c r="N11" s="53">
        <v>4319630</v>
      </c>
      <c r="O11" s="53">
        <v>2495323</v>
      </c>
      <c r="P11" s="81">
        <v>5060242</v>
      </c>
      <c r="Q11" s="70">
        <f>SUM(K11:P11)</f>
        <v>18923399</v>
      </c>
      <c r="R11" s="66">
        <f>J11+Q11</f>
        <v>26173583</v>
      </c>
      <c r="S11" s="16"/>
    </row>
    <row r="12" spans="1:19" s="17" customFormat="1" ht="16.5" customHeight="1" thickBot="1">
      <c r="A12" s="103"/>
      <c r="B12" s="18" t="s">
        <v>42</v>
      </c>
      <c r="C12" s="35" t="s">
        <v>3</v>
      </c>
      <c r="D12" s="84">
        <f aca="true" t="shared" si="4" ref="D12:I12">IF(D10=0,,D11/D10*1000)</f>
        <v>52551.35310849248</v>
      </c>
      <c r="E12" s="52">
        <f t="shared" si="4"/>
        <v>0</v>
      </c>
      <c r="F12" s="52">
        <f t="shared" si="4"/>
        <v>40360.23645089547</v>
      </c>
      <c r="G12" s="52">
        <f t="shared" si="4"/>
        <v>0</v>
      </c>
      <c r="H12" s="52">
        <f t="shared" si="4"/>
        <v>45956.24174372523</v>
      </c>
      <c r="I12" s="82">
        <f t="shared" si="4"/>
        <v>0</v>
      </c>
      <c r="J12" s="69">
        <f aca="true" t="shared" si="5" ref="J12:P12">IF(J10=0,,J11/J10*1000)</f>
        <v>46722.629289511846</v>
      </c>
      <c r="K12" s="82">
        <f t="shared" si="5"/>
        <v>61193.477598293204</v>
      </c>
      <c r="L12" s="52">
        <f t="shared" si="5"/>
        <v>60967.46426597173</v>
      </c>
      <c r="M12" s="52">
        <f t="shared" si="5"/>
        <v>64425.015848099734</v>
      </c>
      <c r="N12" s="52">
        <f t="shared" si="5"/>
        <v>66984.50850559027</v>
      </c>
      <c r="O12" s="52">
        <f t="shared" si="5"/>
        <v>62924.22332055679</v>
      </c>
      <c r="P12" s="82">
        <f t="shared" si="5"/>
        <v>68884.3179961884</v>
      </c>
      <c r="Q12" s="69">
        <f>IF(Q10=0,,Q11/Q10*1000)</f>
        <v>65404.20626965748</v>
      </c>
      <c r="R12" s="65">
        <f>IF(R10=0,,R11/R10*1000)</f>
        <v>58882.539004060694</v>
      </c>
      <c r="S12" s="46"/>
    </row>
    <row r="13" spans="1:19" s="17" customFormat="1" ht="16.5" customHeight="1">
      <c r="A13" s="101" t="s">
        <v>94</v>
      </c>
      <c r="B13" s="30" t="s">
        <v>9</v>
      </c>
      <c r="C13" s="34" t="s">
        <v>1</v>
      </c>
      <c r="D13" s="83">
        <v>11428</v>
      </c>
      <c r="E13" s="51"/>
      <c r="F13" s="51"/>
      <c r="G13" s="51"/>
      <c r="H13" s="51"/>
      <c r="I13" s="80"/>
      <c r="J13" s="68">
        <f>SUM(D13:I13)</f>
        <v>11428</v>
      </c>
      <c r="K13" s="80"/>
      <c r="L13" s="51">
        <v>19803</v>
      </c>
      <c r="M13" s="51">
        <v>1512</v>
      </c>
      <c r="N13" s="51">
        <v>10830</v>
      </c>
      <c r="O13" s="51"/>
      <c r="P13" s="80"/>
      <c r="Q13" s="68">
        <f>SUM(K13:P13)</f>
        <v>32145</v>
      </c>
      <c r="R13" s="64">
        <f>J13+Q13</f>
        <v>43573</v>
      </c>
      <c r="S13" s="16"/>
    </row>
    <row r="14" spans="1:19" s="17" customFormat="1" ht="16.5" customHeight="1">
      <c r="A14" s="102"/>
      <c r="B14" s="30" t="s">
        <v>10</v>
      </c>
      <c r="C14" s="34" t="s">
        <v>2</v>
      </c>
      <c r="D14" s="83">
        <v>523288</v>
      </c>
      <c r="E14" s="51"/>
      <c r="F14" s="51"/>
      <c r="G14" s="51"/>
      <c r="H14" s="51"/>
      <c r="I14" s="80"/>
      <c r="J14" s="70">
        <f>SUM(D14:I14)</f>
        <v>523288</v>
      </c>
      <c r="K14" s="81"/>
      <c r="L14" s="53">
        <v>1216066</v>
      </c>
      <c r="M14" s="53">
        <v>94038</v>
      </c>
      <c r="N14" s="53">
        <v>735857</v>
      </c>
      <c r="O14" s="53"/>
      <c r="P14" s="81"/>
      <c r="Q14" s="70">
        <f>SUM(K14:P14)</f>
        <v>2045961</v>
      </c>
      <c r="R14" s="66">
        <f>J14+Q14</f>
        <v>2569249</v>
      </c>
      <c r="S14" s="16"/>
    </row>
    <row r="15" spans="1:19" s="17" customFormat="1" ht="16.5" customHeight="1" thickBot="1">
      <c r="A15" s="103"/>
      <c r="B15" s="18" t="s">
        <v>42</v>
      </c>
      <c r="C15" s="35" t="s">
        <v>3</v>
      </c>
      <c r="D15" s="84">
        <f aca="true" t="shared" si="6" ref="D15:I15">IF(D13=0,,D14/D13*1000)</f>
        <v>45789.98949947498</v>
      </c>
      <c r="E15" s="52">
        <f t="shared" si="6"/>
        <v>0</v>
      </c>
      <c r="F15" s="52">
        <f t="shared" si="6"/>
        <v>0</v>
      </c>
      <c r="G15" s="52">
        <f t="shared" si="6"/>
        <v>0</v>
      </c>
      <c r="H15" s="52">
        <f t="shared" si="6"/>
        <v>0</v>
      </c>
      <c r="I15" s="82">
        <f t="shared" si="6"/>
        <v>0</v>
      </c>
      <c r="J15" s="69">
        <f aca="true" t="shared" si="7" ref="J15:P15">IF(J13=0,,J14/J13*1000)</f>
        <v>45789.98949947498</v>
      </c>
      <c r="K15" s="82">
        <f t="shared" si="7"/>
        <v>0</v>
      </c>
      <c r="L15" s="52">
        <f t="shared" si="7"/>
        <v>61408.170479220316</v>
      </c>
      <c r="M15" s="52">
        <f t="shared" si="7"/>
        <v>62194.444444444445</v>
      </c>
      <c r="N15" s="52">
        <f t="shared" si="7"/>
        <v>67946.16805170821</v>
      </c>
      <c r="O15" s="52">
        <f t="shared" si="7"/>
        <v>0</v>
      </c>
      <c r="P15" s="82">
        <f t="shared" si="7"/>
        <v>0</v>
      </c>
      <c r="Q15" s="69">
        <f>IF(Q13=0,,Q14/Q13*1000)</f>
        <v>63647.876808212786</v>
      </c>
      <c r="R15" s="65">
        <f>IF(R13=0,,R14/R13*1000)</f>
        <v>58964.243912514634</v>
      </c>
      <c r="S15" s="46"/>
    </row>
    <row r="16" spans="1:19" s="17" customFormat="1" ht="16.5" customHeight="1">
      <c r="A16" s="101" t="s">
        <v>96</v>
      </c>
      <c r="B16" s="30" t="s">
        <v>9</v>
      </c>
      <c r="C16" s="34" t="s">
        <v>1</v>
      </c>
      <c r="D16" s="83">
        <v>153833</v>
      </c>
      <c r="E16" s="51">
        <v>62696</v>
      </c>
      <c r="F16" s="51">
        <v>210881</v>
      </c>
      <c r="G16" s="51">
        <v>164315</v>
      </c>
      <c r="H16" s="51">
        <v>108127</v>
      </c>
      <c r="I16" s="80">
        <v>155867</v>
      </c>
      <c r="J16" s="68">
        <f>SUM(D16:I16)</f>
        <v>855719</v>
      </c>
      <c r="K16" s="80">
        <v>168405</v>
      </c>
      <c r="L16" s="51">
        <v>247480</v>
      </c>
      <c r="M16" s="51">
        <v>116301</v>
      </c>
      <c r="N16" s="51">
        <v>196465</v>
      </c>
      <c r="O16" s="51">
        <v>171861</v>
      </c>
      <c r="P16" s="80">
        <v>310937</v>
      </c>
      <c r="Q16" s="68">
        <f>SUM(K16:P16)</f>
        <v>1211449</v>
      </c>
      <c r="R16" s="64">
        <f>J16+Q16</f>
        <v>2067168</v>
      </c>
      <c r="S16" s="16"/>
    </row>
    <row r="17" spans="1:19" s="17" customFormat="1" ht="16.5" customHeight="1">
      <c r="A17" s="102"/>
      <c r="B17" s="30" t="s">
        <v>10</v>
      </c>
      <c r="C17" s="34" t="s">
        <v>2</v>
      </c>
      <c r="D17" s="83">
        <v>6891282</v>
      </c>
      <c r="E17" s="51">
        <v>2616686</v>
      </c>
      <c r="F17" s="51">
        <v>8606066</v>
      </c>
      <c r="G17" s="51">
        <v>7368787</v>
      </c>
      <c r="H17" s="51">
        <v>5484290</v>
      </c>
      <c r="I17" s="80">
        <v>8135785</v>
      </c>
      <c r="J17" s="68">
        <f>SUM(D17:I17)</f>
        <v>39102896</v>
      </c>
      <c r="K17" s="81">
        <v>8897972</v>
      </c>
      <c r="L17" s="53">
        <v>14593756</v>
      </c>
      <c r="M17" s="53">
        <v>6583046</v>
      </c>
      <c r="N17" s="53">
        <v>12981086</v>
      </c>
      <c r="O17" s="53">
        <v>11528088</v>
      </c>
      <c r="P17" s="81">
        <v>20694084</v>
      </c>
      <c r="Q17" s="68">
        <f>SUM(K17:P17)</f>
        <v>75278032</v>
      </c>
      <c r="R17" s="64">
        <f>J17+Q17</f>
        <v>114380928</v>
      </c>
      <c r="S17" s="16"/>
    </row>
    <row r="18" spans="1:19" s="17" customFormat="1" ht="16.5" customHeight="1" thickBot="1">
      <c r="A18" s="103"/>
      <c r="B18" s="18" t="s">
        <v>42</v>
      </c>
      <c r="C18" s="35" t="s">
        <v>3</v>
      </c>
      <c r="D18" s="84">
        <f aca="true" t="shared" si="8" ref="D18:I18">IF(D16=0,,D17/D16*1000)</f>
        <v>44797.16315744996</v>
      </c>
      <c r="E18" s="52">
        <f t="shared" si="8"/>
        <v>41736.091616690064</v>
      </c>
      <c r="F18" s="52">
        <f t="shared" si="8"/>
        <v>40810.05875351502</v>
      </c>
      <c r="G18" s="52">
        <f t="shared" si="8"/>
        <v>44845.49189057603</v>
      </c>
      <c r="H18" s="52">
        <f t="shared" si="8"/>
        <v>50720.819036873305</v>
      </c>
      <c r="I18" s="82">
        <f t="shared" si="8"/>
        <v>52196.96921092983</v>
      </c>
      <c r="J18" s="69">
        <f aca="true" t="shared" si="9" ref="J18:P18">IF(J16=0,,J17/J16*1000)</f>
        <v>45695.95392880139</v>
      </c>
      <c r="K18" s="82">
        <f t="shared" si="9"/>
        <v>52836.7447522342</v>
      </c>
      <c r="L18" s="52">
        <f t="shared" si="9"/>
        <v>58969.43591401325</v>
      </c>
      <c r="M18" s="52">
        <f t="shared" si="9"/>
        <v>56603.52017609479</v>
      </c>
      <c r="N18" s="52">
        <f t="shared" si="9"/>
        <v>66073.27513806529</v>
      </c>
      <c r="O18" s="52">
        <f t="shared" si="9"/>
        <v>67077.97580602928</v>
      </c>
      <c r="P18" s="82">
        <f t="shared" si="9"/>
        <v>66553.94501136887</v>
      </c>
      <c r="Q18" s="69">
        <f>IF(Q16=0,,Q17/Q16*1000)</f>
        <v>62138.83704555454</v>
      </c>
      <c r="R18" s="65">
        <f>IF(R16=0,,R17/R16*1000)</f>
        <v>55332.18780476478</v>
      </c>
      <c r="S18" s="46"/>
    </row>
    <row r="19" spans="1:19" s="17" customFormat="1" ht="16.5" customHeight="1">
      <c r="A19" s="118" t="s">
        <v>59</v>
      </c>
      <c r="B19" s="30" t="s">
        <v>9</v>
      </c>
      <c r="C19" s="34" t="s">
        <v>1</v>
      </c>
      <c r="D19" s="83">
        <v>85371</v>
      </c>
      <c r="E19" s="51">
        <v>97918</v>
      </c>
      <c r="F19" s="51">
        <v>164096</v>
      </c>
      <c r="G19" s="51">
        <v>169075</v>
      </c>
      <c r="H19" s="51">
        <v>162067</v>
      </c>
      <c r="I19" s="80">
        <v>137606</v>
      </c>
      <c r="J19" s="68">
        <f>SUM(D19:I19)</f>
        <v>816133</v>
      </c>
      <c r="K19" s="80">
        <v>144488</v>
      </c>
      <c r="L19" s="51">
        <v>136485</v>
      </c>
      <c r="M19" s="51">
        <v>142515</v>
      </c>
      <c r="N19" s="51">
        <v>154043</v>
      </c>
      <c r="O19" s="51">
        <v>67294</v>
      </c>
      <c r="P19" s="80">
        <v>177423</v>
      </c>
      <c r="Q19" s="68">
        <f>SUM(K19:P19)</f>
        <v>822248</v>
      </c>
      <c r="R19" s="64">
        <f>J19+Q19</f>
        <v>1638381</v>
      </c>
      <c r="S19" s="16"/>
    </row>
    <row r="20" spans="1:19" s="17" customFormat="1" ht="16.5" customHeight="1">
      <c r="A20" s="119"/>
      <c r="B20" s="30" t="s">
        <v>10</v>
      </c>
      <c r="C20" s="34" t="s">
        <v>2</v>
      </c>
      <c r="D20" s="83">
        <v>4062290</v>
      </c>
      <c r="E20" s="51">
        <v>4095257</v>
      </c>
      <c r="F20" s="51">
        <v>6619395</v>
      </c>
      <c r="G20" s="51">
        <v>7307767</v>
      </c>
      <c r="H20" s="51">
        <v>7581680</v>
      </c>
      <c r="I20" s="80">
        <v>6511187</v>
      </c>
      <c r="J20" s="68">
        <f>SUM(D20:I20)</f>
        <v>36177576</v>
      </c>
      <c r="K20" s="81">
        <v>7277765</v>
      </c>
      <c r="L20" s="53">
        <v>7259461</v>
      </c>
      <c r="M20" s="53">
        <v>8365562</v>
      </c>
      <c r="N20" s="53">
        <v>9106265</v>
      </c>
      <c r="O20" s="53">
        <v>4473681</v>
      </c>
      <c r="P20" s="81">
        <v>12113397</v>
      </c>
      <c r="Q20" s="68">
        <f>SUM(K20:P20)</f>
        <v>48596131</v>
      </c>
      <c r="R20" s="64">
        <f>J20+Q20</f>
        <v>84773707</v>
      </c>
      <c r="S20" s="16"/>
    </row>
    <row r="21" spans="1:19" s="17" customFormat="1" ht="16.5" customHeight="1" thickBot="1">
      <c r="A21" s="120"/>
      <c r="B21" s="18" t="s">
        <v>42</v>
      </c>
      <c r="C21" s="35" t="s">
        <v>3</v>
      </c>
      <c r="D21" s="84">
        <f aca="true" t="shared" si="10" ref="D21:I21">IF(D19=0,,D20/D19*1000)</f>
        <v>47583.95708144452</v>
      </c>
      <c r="E21" s="52">
        <f t="shared" si="10"/>
        <v>41823.331767397205</v>
      </c>
      <c r="F21" s="52">
        <f t="shared" si="10"/>
        <v>40338.55182332293</v>
      </c>
      <c r="G21" s="52">
        <f t="shared" si="10"/>
        <v>43222.04347183203</v>
      </c>
      <c r="H21" s="52">
        <f t="shared" si="10"/>
        <v>46781.14606921829</v>
      </c>
      <c r="I21" s="82">
        <f t="shared" si="10"/>
        <v>47317.60969725157</v>
      </c>
      <c r="J21" s="69">
        <f aca="true" t="shared" si="11" ref="J21:P21">IF(J19=0,,J20/J19*1000)</f>
        <v>44328.039670004764</v>
      </c>
      <c r="K21" s="82">
        <f t="shared" si="11"/>
        <v>50369.33863019766</v>
      </c>
      <c r="L21" s="52">
        <f t="shared" si="11"/>
        <v>53188.70938198337</v>
      </c>
      <c r="M21" s="52">
        <f t="shared" si="11"/>
        <v>58699.51934884048</v>
      </c>
      <c r="N21" s="52">
        <f t="shared" si="11"/>
        <v>59115.08474906357</v>
      </c>
      <c r="O21" s="52">
        <f t="shared" si="11"/>
        <v>66479.64157279996</v>
      </c>
      <c r="P21" s="82">
        <f t="shared" si="11"/>
        <v>68274.10764106119</v>
      </c>
      <c r="Q21" s="69">
        <f>IF(Q19=0,,Q20/Q19*1000)</f>
        <v>59101.54965411896</v>
      </c>
      <c r="R21" s="65">
        <f>IF(R19=0,,R20/R19*1000)</f>
        <v>51742.36456599533</v>
      </c>
      <c r="S21" s="46"/>
    </row>
    <row r="22" spans="1:19" s="17" customFormat="1" ht="16.5" customHeight="1">
      <c r="A22" s="101" t="s">
        <v>53</v>
      </c>
      <c r="B22" s="30" t="s">
        <v>9</v>
      </c>
      <c r="C22" s="34" t="s">
        <v>1</v>
      </c>
      <c r="D22" s="83">
        <v>66166</v>
      </c>
      <c r="E22" s="51">
        <v>44093</v>
      </c>
      <c r="F22" s="51">
        <v>30924</v>
      </c>
      <c r="G22" s="51">
        <v>49192</v>
      </c>
      <c r="H22" s="51">
        <v>46927</v>
      </c>
      <c r="I22" s="80">
        <v>33284</v>
      </c>
      <c r="J22" s="68">
        <f>SUM(D22:I22)</f>
        <v>270586</v>
      </c>
      <c r="K22" s="80">
        <v>72226</v>
      </c>
      <c r="L22" s="51">
        <v>13766</v>
      </c>
      <c r="M22" s="51">
        <v>55702</v>
      </c>
      <c r="N22" s="51">
        <v>68464</v>
      </c>
      <c r="O22" s="51">
        <v>25028</v>
      </c>
      <c r="P22" s="80">
        <v>85645</v>
      </c>
      <c r="Q22" s="68">
        <f>SUM(K22:P22)</f>
        <v>320831</v>
      </c>
      <c r="R22" s="64">
        <f>J22+Q22</f>
        <v>591417</v>
      </c>
      <c r="S22" s="16"/>
    </row>
    <row r="23" spans="1:19" s="17" customFormat="1" ht="16.5" customHeight="1">
      <c r="A23" s="102"/>
      <c r="B23" s="30" t="s">
        <v>10</v>
      </c>
      <c r="C23" s="34" t="s">
        <v>2</v>
      </c>
      <c r="D23" s="83">
        <v>3181495</v>
      </c>
      <c r="E23" s="51">
        <v>1997850</v>
      </c>
      <c r="F23" s="51">
        <v>1240392</v>
      </c>
      <c r="G23" s="51">
        <v>2160353</v>
      </c>
      <c r="H23" s="51">
        <v>2350731</v>
      </c>
      <c r="I23" s="80">
        <v>1693216</v>
      </c>
      <c r="J23" s="68">
        <f>SUM(D23:I23)</f>
        <v>12624037</v>
      </c>
      <c r="K23" s="81">
        <v>3732008</v>
      </c>
      <c r="L23" s="53">
        <v>783945</v>
      </c>
      <c r="M23" s="53">
        <v>3538281</v>
      </c>
      <c r="N23" s="53">
        <v>4503208</v>
      </c>
      <c r="O23" s="53">
        <v>1693945</v>
      </c>
      <c r="P23" s="81">
        <v>5883930</v>
      </c>
      <c r="Q23" s="68">
        <f>SUM(K23:P23)</f>
        <v>20135317</v>
      </c>
      <c r="R23" s="64">
        <f>J23+Q23</f>
        <v>32759354</v>
      </c>
      <c r="S23" s="16"/>
    </row>
    <row r="24" spans="1:19" s="17" customFormat="1" ht="16.5" customHeight="1" thickBot="1">
      <c r="A24" s="103"/>
      <c r="B24" s="18" t="s">
        <v>42</v>
      </c>
      <c r="C24" s="35" t="s">
        <v>3</v>
      </c>
      <c r="D24" s="84">
        <f aca="true" t="shared" si="12" ref="D24:I24">IF(D22=0,,D23/D22*1000)</f>
        <v>48083.53232778164</v>
      </c>
      <c r="E24" s="52">
        <f t="shared" si="12"/>
        <v>45309.91313813984</v>
      </c>
      <c r="F24" s="52">
        <f t="shared" si="12"/>
        <v>40110.981761738454</v>
      </c>
      <c r="G24" s="52">
        <f t="shared" si="12"/>
        <v>43916.754756871036</v>
      </c>
      <c r="H24" s="52">
        <f t="shared" si="12"/>
        <v>50093.35776844887</v>
      </c>
      <c r="I24" s="82">
        <f t="shared" si="12"/>
        <v>50871.770219925485</v>
      </c>
      <c r="J24" s="69">
        <f aca="true" t="shared" si="13" ref="J24:P24">IF(J22=0,,J23/J22*1000)</f>
        <v>46654.43518881243</v>
      </c>
      <c r="K24" s="82">
        <f t="shared" si="13"/>
        <v>51671.25411901531</v>
      </c>
      <c r="L24" s="52">
        <f t="shared" si="13"/>
        <v>56947.91515327618</v>
      </c>
      <c r="M24" s="52">
        <f t="shared" si="13"/>
        <v>63521.6150227999</v>
      </c>
      <c r="N24" s="52">
        <f t="shared" si="13"/>
        <v>65774.8305678897</v>
      </c>
      <c r="O24" s="52">
        <f t="shared" si="13"/>
        <v>67681.996164296</v>
      </c>
      <c r="P24" s="82">
        <f t="shared" si="13"/>
        <v>68701.3836184249</v>
      </c>
      <c r="Q24" s="69">
        <f>IF(Q22=0,,Q23/Q22*1000)</f>
        <v>62759.88604592449</v>
      </c>
      <c r="R24" s="65">
        <f>IF(R22=0,,R23/R22*1000)</f>
        <v>55391.29582003899</v>
      </c>
      <c r="S24" s="46"/>
    </row>
    <row r="25" spans="1:19" s="17" customFormat="1" ht="16.5" customHeight="1">
      <c r="A25" s="101" t="s">
        <v>54</v>
      </c>
      <c r="B25" s="30" t="s">
        <v>9</v>
      </c>
      <c r="C25" s="34" t="s">
        <v>1</v>
      </c>
      <c r="D25" s="83">
        <v>677</v>
      </c>
      <c r="E25" s="51"/>
      <c r="F25" s="51"/>
      <c r="G25" s="51">
        <v>0</v>
      </c>
      <c r="H25" s="51">
        <v>0</v>
      </c>
      <c r="I25" s="80">
        <v>0</v>
      </c>
      <c r="J25" s="68">
        <f>SUM(D25:I25)</f>
        <v>677</v>
      </c>
      <c r="K25" s="80"/>
      <c r="L25" s="51">
        <v>0</v>
      </c>
      <c r="M25" s="51"/>
      <c r="N25" s="51">
        <v>441</v>
      </c>
      <c r="O25" s="51"/>
      <c r="P25" s="80"/>
      <c r="Q25" s="68">
        <f>SUM(K25:P25)</f>
        <v>441</v>
      </c>
      <c r="R25" s="64">
        <f>J25+Q25</f>
        <v>1118</v>
      </c>
      <c r="S25" s="16"/>
    </row>
    <row r="26" spans="1:19" s="17" customFormat="1" ht="16.5" customHeight="1">
      <c r="A26" s="102"/>
      <c r="B26" s="30" t="s">
        <v>10</v>
      </c>
      <c r="C26" s="34" t="s">
        <v>2</v>
      </c>
      <c r="D26" s="83">
        <v>36275</v>
      </c>
      <c r="E26" s="51"/>
      <c r="F26" s="51"/>
      <c r="G26" s="51">
        <v>0</v>
      </c>
      <c r="H26" s="51">
        <v>0</v>
      </c>
      <c r="I26" s="80">
        <v>0</v>
      </c>
      <c r="J26" s="68">
        <f>SUM(D26:I26)</f>
        <v>36275</v>
      </c>
      <c r="K26" s="81"/>
      <c r="L26" s="53">
        <v>0</v>
      </c>
      <c r="M26" s="53"/>
      <c r="N26" s="53">
        <v>24912</v>
      </c>
      <c r="O26" s="53"/>
      <c r="P26" s="81"/>
      <c r="Q26" s="68">
        <f>SUM(K26:P26)</f>
        <v>24912</v>
      </c>
      <c r="R26" s="64">
        <f>J26+Q26</f>
        <v>61187</v>
      </c>
      <c r="S26" s="16"/>
    </row>
    <row r="27" spans="1:19" s="17" customFormat="1" ht="16.5" customHeight="1" thickBot="1">
      <c r="A27" s="103"/>
      <c r="B27" s="18" t="s">
        <v>42</v>
      </c>
      <c r="C27" s="35" t="s">
        <v>3</v>
      </c>
      <c r="D27" s="84">
        <f aca="true" t="shared" si="14" ref="D27:I27">IF(D25=0,,D26/D25*1000)</f>
        <v>53581.979320531755</v>
      </c>
      <c r="E27" s="52">
        <f t="shared" si="14"/>
        <v>0</v>
      </c>
      <c r="F27" s="52">
        <f t="shared" si="14"/>
        <v>0</v>
      </c>
      <c r="G27" s="52">
        <f t="shared" si="14"/>
        <v>0</v>
      </c>
      <c r="H27" s="52">
        <f t="shared" si="14"/>
        <v>0</v>
      </c>
      <c r="I27" s="82">
        <f t="shared" si="14"/>
        <v>0</v>
      </c>
      <c r="J27" s="69">
        <f aca="true" t="shared" si="15" ref="J27:P27">IF(J25=0,,J26/J25*1000)</f>
        <v>53581.979320531755</v>
      </c>
      <c r="K27" s="82">
        <f t="shared" si="15"/>
        <v>0</v>
      </c>
      <c r="L27" s="52">
        <f t="shared" si="15"/>
        <v>0</v>
      </c>
      <c r="M27" s="52">
        <f t="shared" si="15"/>
        <v>0</v>
      </c>
      <c r="N27" s="52">
        <f t="shared" si="15"/>
        <v>56489.79591836735</v>
      </c>
      <c r="O27" s="52">
        <f t="shared" si="15"/>
        <v>0</v>
      </c>
      <c r="P27" s="82">
        <f t="shared" si="15"/>
        <v>0</v>
      </c>
      <c r="Q27" s="69">
        <f>IF(Q25=0,,Q26/Q25*1000)</f>
        <v>56489.79591836735</v>
      </c>
      <c r="R27" s="65">
        <f>IF(R25=0,,R26/R25*1000)</f>
        <v>54728.98032200358</v>
      </c>
      <c r="S27" s="46"/>
    </row>
    <row r="28" spans="1:19" s="17" customFormat="1" ht="16.5" customHeight="1">
      <c r="A28" s="101" t="s">
        <v>11</v>
      </c>
      <c r="B28" s="30" t="s">
        <v>9</v>
      </c>
      <c r="C28" s="34" t="s">
        <v>1</v>
      </c>
      <c r="D28" s="83"/>
      <c r="E28" s="51"/>
      <c r="F28" s="51"/>
      <c r="G28" s="51"/>
      <c r="H28" s="51"/>
      <c r="I28" s="80"/>
      <c r="J28" s="68">
        <f>SUM(D28:I28)</f>
        <v>0</v>
      </c>
      <c r="K28" s="80"/>
      <c r="L28" s="51"/>
      <c r="M28" s="51"/>
      <c r="N28" s="51"/>
      <c r="O28" s="51"/>
      <c r="P28" s="80"/>
      <c r="Q28" s="68">
        <f>SUM(K28:P28)</f>
        <v>0</v>
      </c>
      <c r="R28" s="64">
        <f>J28+Q28</f>
        <v>0</v>
      </c>
      <c r="S28" s="16"/>
    </row>
    <row r="29" spans="1:19" s="17" customFormat="1" ht="16.5" customHeight="1">
      <c r="A29" s="102"/>
      <c r="B29" s="30" t="s">
        <v>10</v>
      </c>
      <c r="C29" s="34" t="s">
        <v>2</v>
      </c>
      <c r="D29" s="83"/>
      <c r="E29" s="51"/>
      <c r="F29" s="51"/>
      <c r="G29" s="51"/>
      <c r="H29" s="51"/>
      <c r="I29" s="80"/>
      <c r="J29" s="68">
        <f>SUM(D29:I29)</f>
        <v>0</v>
      </c>
      <c r="K29" s="81"/>
      <c r="L29" s="53"/>
      <c r="M29" s="53"/>
      <c r="N29" s="53"/>
      <c r="O29" s="53"/>
      <c r="P29" s="81"/>
      <c r="Q29" s="68">
        <f>SUM(K29:P29)</f>
        <v>0</v>
      </c>
      <c r="R29" s="64">
        <f>J29+Q29</f>
        <v>0</v>
      </c>
      <c r="S29" s="16"/>
    </row>
    <row r="30" spans="1:19" s="17" customFormat="1" ht="16.5" customHeight="1" thickBot="1">
      <c r="A30" s="103"/>
      <c r="B30" s="18" t="s">
        <v>42</v>
      </c>
      <c r="C30" s="35" t="s">
        <v>3</v>
      </c>
      <c r="D30" s="84">
        <f aca="true" t="shared" si="16" ref="D30:I30">IF(D28=0,,D29/D28*1000)</f>
        <v>0</v>
      </c>
      <c r="E30" s="52">
        <f t="shared" si="16"/>
        <v>0</v>
      </c>
      <c r="F30" s="52">
        <f t="shared" si="16"/>
        <v>0</v>
      </c>
      <c r="G30" s="52">
        <f t="shared" si="16"/>
        <v>0</v>
      </c>
      <c r="H30" s="52">
        <f t="shared" si="16"/>
        <v>0</v>
      </c>
      <c r="I30" s="82">
        <f t="shared" si="16"/>
        <v>0</v>
      </c>
      <c r="J30" s="69">
        <f aca="true" t="shared" si="17" ref="J30:P30">IF(J28=0,,J29/J28*1000)</f>
        <v>0</v>
      </c>
      <c r="K30" s="82">
        <f t="shared" si="17"/>
        <v>0</v>
      </c>
      <c r="L30" s="52">
        <f t="shared" si="17"/>
        <v>0</v>
      </c>
      <c r="M30" s="52">
        <f t="shared" si="17"/>
        <v>0</v>
      </c>
      <c r="N30" s="52">
        <f t="shared" si="17"/>
        <v>0</v>
      </c>
      <c r="O30" s="52">
        <f t="shared" si="17"/>
        <v>0</v>
      </c>
      <c r="P30" s="82">
        <f t="shared" si="17"/>
        <v>0</v>
      </c>
      <c r="Q30" s="69">
        <f>IF(Q28=0,,Q29/Q28*1000)</f>
        <v>0</v>
      </c>
      <c r="R30" s="65">
        <f>IF(R28=0,,R29/R28*1000)</f>
        <v>0</v>
      </c>
      <c r="S30" s="46"/>
    </row>
    <row r="31" spans="1:19" s="17" customFormat="1" ht="16.5" customHeight="1">
      <c r="A31" s="101" t="s">
        <v>55</v>
      </c>
      <c r="B31" s="30" t="s">
        <v>9</v>
      </c>
      <c r="C31" s="34" t="s">
        <v>1</v>
      </c>
      <c r="D31" s="83">
        <v>29914</v>
      </c>
      <c r="E31" s="51">
        <v>12079</v>
      </c>
      <c r="F31" s="51"/>
      <c r="G31" s="51"/>
      <c r="H31" s="51">
        <v>0</v>
      </c>
      <c r="I31" s="80">
        <v>0</v>
      </c>
      <c r="J31" s="68">
        <f>SUM(D31:I31)</f>
        <v>41993</v>
      </c>
      <c r="K31" s="80">
        <v>44967</v>
      </c>
      <c r="L31" s="51">
        <v>0</v>
      </c>
      <c r="M31" s="51">
        <v>69086</v>
      </c>
      <c r="N31" s="51">
        <v>23156</v>
      </c>
      <c r="O31" s="51"/>
      <c r="P31" s="80"/>
      <c r="Q31" s="68">
        <f>SUM(K31:P31)</f>
        <v>137209</v>
      </c>
      <c r="R31" s="64">
        <f>J31+Q31</f>
        <v>179202</v>
      </c>
      <c r="S31" s="16"/>
    </row>
    <row r="32" spans="1:19" s="17" customFormat="1" ht="16.5" customHeight="1">
      <c r="A32" s="102"/>
      <c r="B32" s="30" t="s">
        <v>10</v>
      </c>
      <c r="C32" s="34" t="s">
        <v>2</v>
      </c>
      <c r="D32" s="83">
        <v>1264884</v>
      </c>
      <c r="E32" s="51">
        <v>503953</v>
      </c>
      <c r="F32" s="51"/>
      <c r="G32" s="51"/>
      <c r="H32" s="51">
        <v>0</v>
      </c>
      <c r="I32" s="80">
        <v>0</v>
      </c>
      <c r="J32" s="70">
        <f>SUM(D32:I32)</f>
        <v>1768837</v>
      </c>
      <c r="K32" s="81">
        <v>2197478</v>
      </c>
      <c r="L32" s="53">
        <v>0</v>
      </c>
      <c r="M32" s="53">
        <v>4267496</v>
      </c>
      <c r="N32" s="53">
        <v>1546447</v>
      </c>
      <c r="O32" s="53"/>
      <c r="P32" s="81"/>
      <c r="Q32" s="70">
        <f>SUM(K32:P32)</f>
        <v>8011421</v>
      </c>
      <c r="R32" s="66">
        <f>J32+Q32</f>
        <v>9780258</v>
      </c>
      <c r="S32" s="16"/>
    </row>
    <row r="33" spans="1:19" s="17" customFormat="1" ht="16.5" customHeight="1" thickBot="1">
      <c r="A33" s="103"/>
      <c r="B33" s="18" t="s">
        <v>42</v>
      </c>
      <c r="C33" s="35" t="s">
        <v>3</v>
      </c>
      <c r="D33" s="84">
        <f aca="true" t="shared" si="18" ref="D33:I33">IF(D31=0,,D32/D31*1000)</f>
        <v>42284.01417396537</v>
      </c>
      <c r="E33" s="52">
        <f t="shared" si="18"/>
        <v>41721.417335872175</v>
      </c>
      <c r="F33" s="52">
        <f t="shared" si="18"/>
        <v>0</v>
      </c>
      <c r="G33" s="52">
        <f t="shared" si="18"/>
        <v>0</v>
      </c>
      <c r="H33" s="52">
        <f t="shared" si="18"/>
        <v>0</v>
      </c>
      <c r="I33" s="82">
        <f t="shared" si="18"/>
        <v>0</v>
      </c>
      <c r="J33" s="69">
        <f aca="true" t="shared" si="19" ref="J33:P33">IF(J31=0,,J32/J31*1000)</f>
        <v>42122.18703117186</v>
      </c>
      <c r="K33" s="82">
        <f t="shared" si="19"/>
        <v>48868.68147752796</v>
      </c>
      <c r="L33" s="52">
        <f t="shared" si="19"/>
        <v>0</v>
      </c>
      <c r="M33" s="52">
        <f t="shared" si="19"/>
        <v>61770.778450047765</v>
      </c>
      <c r="N33" s="52">
        <f t="shared" si="19"/>
        <v>66783.85731559855</v>
      </c>
      <c r="O33" s="52">
        <f t="shared" si="19"/>
        <v>0</v>
      </c>
      <c r="P33" s="82">
        <f t="shared" si="19"/>
        <v>0</v>
      </c>
      <c r="Q33" s="69">
        <f>IF(Q31=0,,Q32/Q31*1000)</f>
        <v>58388.45119489246</v>
      </c>
      <c r="R33" s="65">
        <f>IF(R31=0,,R32/R31*1000)</f>
        <v>54576.72347406837</v>
      </c>
      <c r="S33" s="46"/>
    </row>
    <row r="34" spans="1:19" s="17" customFormat="1" ht="16.5" customHeight="1">
      <c r="A34" s="101" t="s">
        <v>56</v>
      </c>
      <c r="B34" s="30" t="s">
        <v>9</v>
      </c>
      <c r="C34" s="34" t="s">
        <v>1</v>
      </c>
      <c r="D34" s="83"/>
      <c r="E34" s="51">
        <v>10936</v>
      </c>
      <c r="F34" s="51">
        <v>12094</v>
      </c>
      <c r="G34" s="51">
        <v>21364</v>
      </c>
      <c r="H34" s="51"/>
      <c r="I34" s="80"/>
      <c r="J34" s="68">
        <f>SUM(D34:I34)</f>
        <v>44394</v>
      </c>
      <c r="K34" s="80">
        <v>2004</v>
      </c>
      <c r="L34" s="51">
        <v>5110</v>
      </c>
      <c r="M34" s="51"/>
      <c r="N34" s="51">
        <v>9499</v>
      </c>
      <c r="O34" s="51"/>
      <c r="P34" s="80"/>
      <c r="Q34" s="68">
        <f>SUM(K34:P34)</f>
        <v>16613</v>
      </c>
      <c r="R34" s="64">
        <f>J34+Q34</f>
        <v>61007</v>
      </c>
      <c r="S34" s="16"/>
    </row>
    <row r="35" spans="1:19" s="17" customFormat="1" ht="16.5" customHeight="1">
      <c r="A35" s="102"/>
      <c r="B35" s="30" t="s">
        <v>10</v>
      </c>
      <c r="C35" s="34" t="s">
        <v>2</v>
      </c>
      <c r="D35" s="83"/>
      <c r="E35" s="51">
        <v>461592</v>
      </c>
      <c r="F35" s="51">
        <v>474347</v>
      </c>
      <c r="G35" s="51">
        <v>1096401</v>
      </c>
      <c r="H35" s="51"/>
      <c r="I35" s="80"/>
      <c r="J35" s="68">
        <f>SUM(D35:I35)</f>
        <v>2032340</v>
      </c>
      <c r="K35" s="81">
        <v>106970</v>
      </c>
      <c r="L35" s="53">
        <v>276910</v>
      </c>
      <c r="M35" s="53"/>
      <c r="N35" s="53">
        <v>672605</v>
      </c>
      <c r="O35" s="53"/>
      <c r="P35" s="81"/>
      <c r="Q35" s="68">
        <f>SUM(K35:P35)</f>
        <v>1056485</v>
      </c>
      <c r="R35" s="64">
        <f>J35+Q35</f>
        <v>3088825</v>
      </c>
      <c r="S35" s="16"/>
    </row>
    <row r="36" spans="1:19" s="17" customFormat="1" ht="16.5" customHeight="1" thickBot="1">
      <c r="A36" s="103"/>
      <c r="B36" s="18" t="s">
        <v>42</v>
      </c>
      <c r="C36" s="35" t="s">
        <v>3</v>
      </c>
      <c r="D36" s="84">
        <f aca="true" t="shared" si="20" ref="D36:I36">IF(D34=0,,D35/D34*1000)</f>
        <v>0</v>
      </c>
      <c r="E36" s="52">
        <f t="shared" si="20"/>
        <v>42208.48573518654</v>
      </c>
      <c r="F36" s="52">
        <f t="shared" si="20"/>
        <v>39221.68017198611</v>
      </c>
      <c r="G36" s="52">
        <f t="shared" si="20"/>
        <v>51320.02434001124</v>
      </c>
      <c r="H36" s="52">
        <f t="shared" si="20"/>
        <v>0</v>
      </c>
      <c r="I36" s="82">
        <f t="shared" si="20"/>
        <v>0</v>
      </c>
      <c r="J36" s="69">
        <f aca="true" t="shared" si="21" ref="J36:P36">IF(J34=0,,J35/J34*1000)</f>
        <v>45779.609857187905</v>
      </c>
      <c r="K36" s="82">
        <f t="shared" si="21"/>
        <v>53378.243512974055</v>
      </c>
      <c r="L36" s="52">
        <f t="shared" si="21"/>
        <v>54189.823874755384</v>
      </c>
      <c r="M36" s="52">
        <f t="shared" si="21"/>
        <v>0</v>
      </c>
      <c r="N36" s="52">
        <f t="shared" si="21"/>
        <v>70807.97978734605</v>
      </c>
      <c r="O36" s="52">
        <f t="shared" si="21"/>
        <v>0</v>
      </c>
      <c r="P36" s="82">
        <f t="shared" si="21"/>
        <v>0</v>
      </c>
      <c r="Q36" s="69">
        <f>IF(Q34=0,,Q35/Q34*1000)</f>
        <v>63593.872268705236</v>
      </c>
      <c r="R36" s="65">
        <f>IF(R34=0,,R35/R34*1000)</f>
        <v>50630.66533348632</v>
      </c>
      <c r="S36" s="46"/>
    </row>
    <row r="37" spans="1:19" s="17" customFormat="1" ht="16.5" customHeight="1">
      <c r="A37" s="101" t="s">
        <v>12</v>
      </c>
      <c r="B37" s="30" t="s">
        <v>9</v>
      </c>
      <c r="C37" s="34" t="s">
        <v>1</v>
      </c>
      <c r="D37" s="83">
        <v>62871</v>
      </c>
      <c r="E37" s="51">
        <v>3</v>
      </c>
      <c r="F37" s="51">
        <f>6+11545+67675</f>
        <v>79226</v>
      </c>
      <c r="G37" s="51">
        <f>2+8897</f>
        <v>8899</v>
      </c>
      <c r="H37" s="51">
        <v>2</v>
      </c>
      <c r="I37" s="80">
        <v>6</v>
      </c>
      <c r="J37" s="71">
        <f>SUM(D37:I37)</f>
        <v>151007</v>
      </c>
      <c r="K37" s="80">
        <v>11382</v>
      </c>
      <c r="L37" s="51">
        <f>2+16391</f>
        <v>16393</v>
      </c>
      <c r="M37" s="51">
        <v>2</v>
      </c>
      <c r="N37" s="51">
        <v>2</v>
      </c>
      <c r="O37" s="51">
        <f>3+33567</f>
        <v>33570</v>
      </c>
      <c r="P37" s="80">
        <v>42031</v>
      </c>
      <c r="Q37" s="71">
        <f>SUM(K37:P37)</f>
        <v>103380</v>
      </c>
      <c r="R37" s="67">
        <f>J37+Q37</f>
        <v>254387</v>
      </c>
      <c r="S37" s="16"/>
    </row>
    <row r="38" spans="1:19" s="17" customFormat="1" ht="16.5" customHeight="1">
      <c r="A38" s="102"/>
      <c r="B38" s="30" t="s">
        <v>10</v>
      </c>
      <c r="C38" s="34" t="s">
        <v>2</v>
      </c>
      <c r="D38" s="83">
        <v>2689688</v>
      </c>
      <c r="E38" s="51">
        <f>2027+2198</f>
        <v>4225</v>
      </c>
      <c r="F38" s="51">
        <f>3886+533202+2805770</f>
        <v>3342858</v>
      </c>
      <c r="G38" s="51">
        <f>1219+424344</f>
        <v>425563</v>
      </c>
      <c r="H38" s="51">
        <v>1068</v>
      </c>
      <c r="I38" s="80">
        <v>3463</v>
      </c>
      <c r="J38" s="70">
        <f>SUM(D38:I38)</f>
        <v>6466865</v>
      </c>
      <c r="K38" s="81">
        <v>616935</v>
      </c>
      <c r="L38" s="53">
        <f>1153+751567</f>
        <v>752720</v>
      </c>
      <c r="M38" s="53">
        <v>1471</v>
      </c>
      <c r="N38" s="53">
        <v>1167</v>
      </c>
      <c r="O38" s="53">
        <f>2083+2240122</f>
        <v>2242205</v>
      </c>
      <c r="P38" s="81">
        <f>651+2742451</f>
        <v>2743102</v>
      </c>
      <c r="Q38" s="70">
        <f>SUM(K38:P38)</f>
        <v>6357600</v>
      </c>
      <c r="R38" s="66">
        <f>J38+Q38</f>
        <v>12824465</v>
      </c>
      <c r="S38" s="16"/>
    </row>
    <row r="39" spans="1:19" s="17" customFormat="1" ht="16.5" customHeight="1" thickBot="1">
      <c r="A39" s="103"/>
      <c r="B39" s="18" t="s">
        <v>42</v>
      </c>
      <c r="C39" s="35" t="s">
        <v>3</v>
      </c>
      <c r="D39" s="84">
        <f aca="true" t="shared" si="22" ref="D39:I39">IF(D37=0,,D38/D37*1000)</f>
        <v>42781.05963003611</v>
      </c>
      <c r="E39" s="52">
        <f t="shared" si="22"/>
        <v>1408333.3333333333</v>
      </c>
      <c r="F39" s="52">
        <f t="shared" si="22"/>
        <v>42193.951480574564</v>
      </c>
      <c r="G39" s="52">
        <f t="shared" si="22"/>
        <v>47821.440611304635</v>
      </c>
      <c r="H39" s="52">
        <f t="shared" si="22"/>
        <v>534000</v>
      </c>
      <c r="I39" s="82">
        <f t="shared" si="22"/>
        <v>577166.6666666666</v>
      </c>
      <c r="J39" s="69">
        <f aca="true" t="shared" si="23" ref="J39:P39">IF(J37=0,,J38/J37*1000)</f>
        <v>42824.935267901485</v>
      </c>
      <c r="K39" s="82">
        <f t="shared" si="23"/>
        <v>54202.68845545599</v>
      </c>
      <c r="L39" s="52">
        <f t="shared" si="23"/>
        <v>45917.159763313604</v>
      </c>
      <c r="M39" s="52">
        <f t="shared" si="23"/>
        <v>735500</v>
      </c>
      <c r="N39" s="52">
        <f t="shared" si="23"/>
        <v>583500</v>
      </c>
      <c r="O39" s="52">
        <f t="shared" si="23"/>
        <v>66791.927316056</v>
      </c>
      <c r="P39" s="82">
        <f t="shared" si="23"/>
        <v>65263.781494611125</v>
      </c>
      <c r="Q39" s="69">
        <f>IF(Q37=0,,Q38/Q37*1000)</f>
        <v>61497.38827626233</v>
      </c>
      <c r="R39" s="65">
        <f>IF(R37=0,,R38/R37*1000)</f>
        <v>50413.20900832197</v>
      </c>
      <c r="S39" s="46"/>
    </row>
    <row r="40" spans="1:19" s="17" customFormat="1" ht="16.5" customHeight="1">
      <c r="A40" s="101" t="s">
        <v>4</v>
      </c>
      <c r="B40" s="30" t="s">
        <v>9</v>
      </c>
      <c r="C40" s="34" t="s">
        <v>1</v>
      </c>
      <c r="D40" s="59">
        <f aca="true" t="shared" si="24" ref="D40:G41">D4+D7+D10+D13+D16+D19+D22+D25+D28+D31+D34+D37</f>
        <v>728357</v>
      </c>
      <c r="E40" s="51">
        <f t="shared" si="24"/>
        <v>552050</v>
      </c>
      <c r="F40" s="51">
        <f t="shared" si="24"/>
        <v>784165</v>
      </c>
      <c r="G40" s="51">
        <f>G4+G7+G10+G13+G16+G19+G22+G25+G28+G31+G34+G37</f>
        <v>632235</v>
      </c>
      <c r="H40" s="54">
        <f>H4+H7+H10+H13+H16+H19+H22+H25+H28+H31+H34+H37</f>
        <v>605389</v>
      </c>
      <c r="I40" s="80">
        <f>I4+I7+I10+I13+I16+I19+I22+I25+I28+I31+I34+I37</f>
        <v>720024</v>
      </c>
      <c r="J40" s="71">
        <f>SUM(D40:I40)</f>
        <v>4022220</v>
      </c>
      <c r="K40" s="67">
        <f aca="true" t="shared" si="25" ref="K40:P41">K4+K7+K10+K13+K16+K19+K22+K25+K28+K31+K34+K37</f>
        <v>698237</v>
      </c>
      <c r="L40" s="54">
        <f t="shared" si="25"/>
        <v>851883</v>
      </c>
      <c r="M40" s="54">
        <f t="shared" si="25"/>
        <v>720677</v>
      </c>
      <c r="N40" s="54">
        <f t="shared" si="25"/>
        <v>802231</v>
      </c>
      <c r="O40" s="54">
        <f t="shared" si="25"/>
        <v>592057</v>
      </c>
      <c r="P40" s="63">
        <f t="shared" si="25"/>
        <v>867697</v>
      </c>
      <c r="Q40" s="71">
        <f>SUM(K40:P40)</f>
        <v>4532782</v>
      </c>
      <c r="R40" s="67">
        <f>J40+Q40</f>
        <v>8555002</v>
      </c>
      <c r="S40" s="47"/>
    </row>
    <row r="41" spans="1:19" s="17" customFormat="1" ht="16.5" customHeight="1">
      <c r="A41" s="102"/>
      <c r="B41" s="30" t="s">
        <v>10</v>
      </c>
      <c r="C41" s="34" t="s">
        <v>2</v>
      </c>
      <c r="D41" s="58">
        <f t="shared" si="24"/>
        <v>33971150</v>
      </c>
      <c r="E41" s="51">
        <f>E5+E8+E11+E14+E17+E20+E23+E26+E29+E32+E35+E38</f>
        <v>23824301</v>
      </c>
      <c r="F41" s="51">
        <f t="shared" si="24"/>
        <v>32060669</v>
      </c>
      <c r="G41" s="51">
        <f t="shared" si="24"/>
        <v>28159302</v>
      </c>
      <c r="H41" s="53">
        <f>H5+H8+H11+H14+H17+H20+H23+H26+H29+H32+H35+H38</f>
        <v>29628037</v>
      </c>
      <c r="I41" s="80">
        <f>I5+I8+I11+I14+I17+I20+I23+I26+I29+I32+I35+I38</f>
        <v>36409215</v>
      </c>
      <c r="J41" s="70">
        <f>SUM(D41:I41)</f>
        <v>184052674</v>
      </c>
      <c r="K41" s="66">
        <f t="shared" si="25"/>
        <v>36552346</v>
      </c>
      <c r="L41" s="53">
        <f t="shared" si="25"/>
        <v>48194734</v>
      </c>
      <c r="M41" s="53">
        <f t="shared" si="25"/>
        <v>43201535</v>
      </c>
      <c r="N41" s="53">
        <f t="shared" si="25"/>
        <v>52658671</v>
      </c>
      <c r="O41" s="53">
        <f t="shared" si="25"/>
        <v>39957632</v>
      </c>
      <c r="P41" s="62">
        <f t="shared" si="25"/>
        <v>58610339</v>
      </c>
      <c r="Q41" s="70">
        <f>Q5+Q8+Q11+Q14+Q17+Q20+Q23+Q26+Q29+Q32+Q35+Q38</f>
        <v>279175257</v>
      </c>
      <c r="R41" s="66">
        <f>J41+Q41</f>
        <v>463227931</v>
      </c>
      <c r="S41" s="16"/>
    </row>
    <row r="42" spans="1:19" s="17" customFormat="1" ht="16.5" customHeight="1" thickBot="1">
      <c r="A42" s="103"/>
      <c r="B42" s="18" t="s">
        <v>42</v>
      </c>
      <c r="C42" s="35" t="s">
        <v>3</v>
      </c>
      <c r="D42" s="57">
        <f aca="true" t="shared" si="26" ref="D42:I42">IF(D40=0,,D41/D40*1000)</f>
        <v>46640.79565377967</v>
      </c>
      <c r="E42" s="52">
        <f t="shared" si="26"/>
        <v>43156.05651661987</v>
      </c>
      <c r="F42" s="52">
        <f t="shared" si="26"/>
        <v>40885.105813189824</v>
      </c>
      <c r="G42" s="52">
        <f t="shared" si="26"/>
        <v>44539.29630596218</v>
      </c>
      <c r="H42" s="52">
        <f t="shared" si="26"/>
        <v>48940.49445893466</v>
      </c>
      <c r="I42" s="82">
        <f t="shared" si="26"/>
        <v>50566.6686110463</v>
      </c>
      <c r="J42" s="69">
        <f aca="true" t="shared" si="27" ref="J42:R42">IF(J40=0,,J41/J40*1000)</f>
        <v>45758.97738065048</v>
      </c>
      <c r="K42" s="65">
        <f t="shared" si="27"/>
        <v>52349.483055180404</v>
      </c>
      <c r="L42" s="52">
        <f t="shared" si="27"/>
        <v>56574.35821585828</v>
      </c>
      <c r="M42" s="52">
        <f t="shared" si="27"/>
        <v>59945.766272546505</v>
      </c>
      <c r="N42" s="52">
        <f t="shared" si="27"/>
        <v>65640.28440686037</v>
      </c>
      <c r="O42" s="52">
        <f t="shared" si="27"/>
        <v>67489.50185539568</v>
      </c>
      <c r="P42" s="61">
        <f t="shared" si="27"/>
        <v>67547.01122626908</v>
      </c>
      <c r="Q42" s="69">
        <f t="shared" si="27"/>
        <v>61590.26774285638</v>
      </c>
      <c r="R42" s="65">
        <f t="shared" si="27"/>
        <v>54147.027785615945</v>
      </c>
      <c r="S42" s="46"/>
    </row>
    <row r="43" spans="1:19" s="17" customFormat="1" ht="24" customHeight="1" thickBot="1">
      <c r="A43" s="108" t="s">
        <v>13</v>
      </c>
      <c r="B43" s="109"/>
      <c r="C43" s="116"/>
      <c r="D43" s="74">
        <f>'総合計'!D43</f>
        <v>98.82</v>
      </c>
      <c r="E43" s="75">
        <f>'総合計'!E43</f>
        <v>97.81</v>
      </c>
      <c r="F43" s="75">
        <f>'総合計'!F43</f>
        <v>96.17</v>
      </c>
      <c r="G43" s="75">
        <f>'総合計'!G43</f>
        <v>95.09</v>
      </c>
      <c r="H43" s="75">
        <f>'総合計'!H43</f>
        <v>94.97</v>
      </c>
      <c r="I43" s="76">
        <f>'総合計'!I43</f>
        <v>93.05</v>
      </c>
      <c r="J43" s="77">
        <f>'総合計'!J43</f>
        <v>95.92</v>
      </c>
      <c r="K43" s="78">
        <f>'総合計'!K43</f>
        <v>89.99</v>
      </c>
      <c r="L43" s="75">
        <f>'総合計'!L43</f>
        <v>90.61</v>
      </c>
      <c r="M43" s="75">
        <f>'総合計'!M43</f>
        <v>88.33</v>
      </c>
      <c r="N43" s="75">
        <f>'総合計'!N43</f>
        <v>91.61</v>
      </c>
      <c r="O43" s="75">
        <f>'総合計'!O43</f>
        <v>90.22</v>
      </c>
      <c r="P43" s="76">
        <f>'総合計'!P43</f>
        <v>90.11</v>
      </c>
      <c r="Q43" s="77">
        <f>'総合計'!Q43</f>
        <v>90.16</v>
      </c>
      <c r="R43" s="79">
        <f>'総合計'!R43</f>
        <v>92.97</v>
      </c>
      <c r="S43" s="16"/>
    </row>
    <row r="44" ht="12.75">
      <c r="A44" s="97" t="str">
        <f>'総合計'!A53</f>
        <v>※数値はすべて確定値。</v>
      </c>
    </row>
  </sheetData>
  <mergeCells count="15">
    <mergeCell ref="D1:P1"/>
    <mergeCell ref="A4:A6"/>
    <mergeCell ref="A7:A9"/>
    <mergeCell ref="A10:A12"/>
    <mergeCell ref="A13:A15"/>
    <mergeCell ref="A16:A18"/>
    <mergeCell ref="A19:A21"/>
    <mergeCell ref="A22:A24"/>
    <mergeCell ref="A37:A39"/>
    <mergeCell ref="A40:A42"/>
    <mergeCell ref="A43:C43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71" r:id="rId2"/>
  <headerFooter alignWithMargins="0">
    <oddFooter>&amp;C&amp;20 -5-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showZeros="0" zoomScale="55" zoomScaleNormal="55" zoomScaleSheetLayoutView="70" workbookViewId="0" topLeftCell="A1">
      <selection activeCell="Q43" sqref="Q43"/>
    </sheetView>
  </sheetViews>
  <sheetFormatPr defaultColWidth="9.140625" defaultRowHeight="12.75"/>
  <cols>
    <col min="1" max="1" width="14.421875" style="0" customWidth="1"/>
    <col min="4" max="9" width="10.7109375" style="0" customWidth="1"/>
    <col min="10" max="10" width="11.28125" style="0" customWidth="1"/>
    <col min="11" max="16" width="10.7109375" style="0" customWidth="1"/>
    <col min="17" max="18" width="11.28125" style="0" customWidth="1"/>
    <col min="19" max="19" width="7.28125" style="0" customWidth="1"/>
  </cols>
  <sheetData>
    <row r="1" spans="1:16" ht="27" customHeight="1">
      <c r="A1" s="13" t="s">
        <v>60</v>
      </c>
      <c r="B1" s="10" t="s">
        <v>93</v>
      </c>
      <c r="C1" s="1"/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8" ht="18" customHeight="1" thickBot="1">
      <c r="A2" s="12" t="s">
        <v>61</v>
      </c>
      <c r="B2" s="15" t="s">
        <v>62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0"/>
      <c r="R2" s="98">
        <f>'総合計'!Q2</f>
        <v>40616</v>
      </c>
    </row>
    <row r="3" spans="1:19" ht="24" customHeight="1" thickBot="1">
      <c r="A3" s="19"/>
      <c r="B3" s="20"/>
      <c r="C3" s="20"/>
      <c r="D3" s="41" t="s">
        <v>63</v>
      </c>
      <c r="E3" s="42" t="s">
        <v>64</v>
      </c>
      <c r="F3" s="42" t="s">
        <v>65</v>
      </c>
      <c r="G3" s="42" t="s">
        <v>66</v>
      </c>
      <c r="H3" s="42" t="s">
        <v>67</v>
      </c>
      <c r="I3" s="43" t="s">
        <v>68</v>
      </c>
      <c r="J3" s="44" t="s">
        <v>69</v>
      </c>
      <c r="K3" s="43" t="s">
        <v>70</v>
      </c>
      <c r="L3" s="42" t="s">
        <v>71</v>
      </c>
      <c r="M3" s="42" t="s">
        <v>72</v>
      </c>
      <c r="N3" s="42" t="s">
        <v>73</v>
      </c>
      <c r="O3" s="42" t="s">
        <v>74</v>
      </c>
      <c r="P3" s="43" t="s">
        <v>75</v>
      </c>
      <c r="Q3" s="44" t="s">
        <v>76</v>
      </c>
      <c r="R3" s="45" t="s">
        <v>77</v>
      </c>
      <c r="S3" s="5"/>
    </row>
    <row r="4" spans="1:19" s="17" customFormat="1" ht="16.5" customHeight="1">
      <c r="A4" s="121" t="s">
        <v>78</v>
      </c>
      <c r="B4" s="30" t="s">
        <v>79</v>
      </c>
      <c r="C4" s="33" t="s">
        <v>1</v>
      </c>
      <c r="D4" s="55"/>
      <c r="E4" s="51"/>
      <c r="F4" s="51"/>
      <c r="G4" s="51"/>
      <c r="H4" s="51"/>
      <c r="I4" s="60"/>
      <c r="J4" s="73">
        <f>SUM(D4:I4)</f>
        <v>0</v>
      </c>
      <c r="K4" s="64"/>
      <c r="L4" s="51"/>
      <c r="M4" s="51"/>
      <c r="N4" s="51"/>
      <c r="O4" s="51"/>
      <c r="P4" s="60"/>
      <c r="Q4" s="73">
        <f>SUM(K4:P4)</f>
        <v>0</v>
      </c>
      <c r="R4" s="64">
        <f>Q4+J4</f>
        <v>0</v>
      </c>
      <c r="S4" s="16"/>
    </row>
    <row r="5" spans="1:19" s="17" customFormat="1" ht="16.5" customHeight="1">
      <c r="A5" s="122"/>
      <c r="B5" s="30" t="s">
        <v>80</v>
      </c>
      <c r="C5" s="34" t="s">
        <v>2</v>
      </c>
      <c r="D5" s="56"/>
      <c r="E5" s="51"/>
      <c r="F5" s="51"/>
      <c r="G5" s="51"/>
      <c r="H5" s="51"/>
      <c r="I5" s="60"/>
      <c r="J5" s="68">
        <f>SUM(D5:I5)</f>
        <v>0</v>
      </c>
      <c r="K5" s="64"/>
      <c r="L5" s="51"/>
      <c r="M5" s="51"/>
      <c r="N5" s="51"/>
      <c r="O5" s="51"/>
      <c r="P5" s="60"/>
      <c r="Q5" s="68">
        <f>SUM(K5:P5)</f>
        <v>0</v>
      </c>
      <c r="R5" s="64">
        <f>Q5+J5</f>
        <v>0</v>
      </c>
      <c r="S5" s="16"/>
    </row>
    <row r="6" spans="1:19" s="17" customFormat="1" ht="16.5" customHeight="1" thickBot="1">
      <c r="A6" s="123"/>
      <c r="B6" s="18" t="s">
        <v>81</v>
      </c>
      <c r="C6" s="35" t="s">
        <v>3</v>
      </c>
      <c r="D6" s="57">
        <f aca="true" t="shared" si="0" ref="D6:M6">IF(D4=0,,D5/D4*1000)</f>
        <v>0</v>
      </c>
      <c r="E6" s="52">
        <f t="shared" si="0"/>
        <v>0</v>
      </c>
      <c r="F6" s="52">
        <f t="shared" si="0"/>
        <v>0</v>
      </c>
      <c r="G6" s="52">
        <f t="shared" si="0"/>
        <v>0</v>
      </c>
      <c r="H6" s="52">
        <f t="shared" si="0"/>
        <v>0</v>
      </c>
      <c r="I6" s="61">
        <f t="shared" si="0"/>
        <v>0</v>
      </c>
      <c r="J6" s="69">
        <f t="shared" si="0"/>
        <v>0</v>
      </c>
      <c r="K6" s="65">
        <f t="shared" si="0"/>
        <v>0</v>
      </c>
      <c r="L6" s="52">
        <f t="shared" si="0"/>
        <v>0</v>
      </c>
      <c r="M6" s="52">
        <f t="shared" si="0"/>
        <v>0</v>
      </c>
      <c r="N6" s="52">
        <f>IF(N4=0,,N5/N4*1000)</f>
        <v>0</v>
      </c>
      <c r="O6" s="52">
        <f>IF(O4=0,,O5/O4*1000)</f>
        <v>0</v>
      </c>
      <c r="P6" s="61">
        <f>IF(P4=0,,P5/P4*1000)</f>
        <v>0</v>
      </c>
      <c r="Q6" s="69">
        <f>IF(Q4=0,,Q5/Q4*1000)</f>
        <v>0</v>
      </c>
      <c r="R6" s="65">
        <f>IF(R4=0,,(R5/R4)*1000)</f>
        <v>0</v>
      </c>
      <c r="S6" s="46"/>
    </row>
    <row r="7" spans="1:19" s="17" customFormat="1" ht="16.5" customHeight="1">
      <c r="A7" s="121" t="s">
        <v>82</v>
      </c>
      <c r="B7" s="30" t="s">
        <v>79</v>
      </c>
      <c r="C7" s="34" t="s">
        <v>1</v>
      </c>
      <c r="D7" s="56"/>
      <c r="E7" s="51"/>
      <c r="F7" s="51"/>
      <c r="G7" s="51"/>
      <c r="H7" s="51"/>
      <c r="I7" s="60"/>
      <c r="J7" s="68">
        <f>SUM(D7:I7)</f>
        <v>0</v>
      </c>
      <c r="K7" s="64"/>
      <c r="L7" s="51"/>
      <c r="M7" s="51"/>
      <c r="N7" s="51"/>
      <c r="O7" s="51"/>
      <c r="P7" s="60"/>
      <c r="Q7" s="68">
        <f>SUM(K7:P7)</f>
        <v>0</v>
      </c>
      <c r="R7" s="64">
        <f>Q7+J7</f>
        <v>0</v>
      </c>
      <c r="S7" s="16"/>
    </row>
    <row r="8" spans="1:19" s="17" customFormat="1" ht="16.5" customHeight="1">
      <c r="A8" s="122"/>
      <c r="B8" s="30" t="s">
        <v>80</v>
      </c>
      <c r="C8" s="34" t="s">
        <v>2</v>
      </c>
      <c r="D8" s="56"/>
      <c r="E8" s="51"/>
      <c r="F8" s="51"/>
      <c r="G8" s="51"/>
      <c r="H8" s="51"/>
      <c r="I8" s="60"/>
      <c r="J8" s="68">
        <f>SUM(D8:I8)</f>
        <v>0</v>
      </c>
      <c r="K8" s="64"/>
      <c r="L8" s="51"/>
      <c r="M8" s="51"/>
      <c r="N8" s="51"/>
      <c r="O8" s="51"/>
      <c r="P8" s="60"/>
      <c r="Q8" s="68">
        <f>SUM(K8:P8)</f>
        <v>0</v>
      </c>
      <c r="R8" s="64">
        <f>Q8+J8</f>
        <v>0</v>
      </c>
      <c r="S8" s="16"/>
    </row>
    <row r="9" spans="1:19" s="17" customFormat="1" ht="16.5" customHeight="1" thickBot="1">
      <c r="A9" s="123"/>
      <c r="B9" s="18" t="s">
        <v>81</v>
      </c>
      <c r="C9" s="35" t="s">
        <v>3</v>
      </c>
      <c r="D9" s="57">
        <f aca="true" t="shared" si="1" ref="D9:Q9">IF(D7=0,,D8/D7*1000)</f>
        <v>0</v>
      </c>
      <c r="E9" s="52">
        <f t="shared" si="1"/>
        <v>0</v>
      </c>
      <c r="F9" s="52">
        <f t="shared" si="1"/>
        <v>0</v>
      </c>
      <c r="G9" s="52">
        <f t="shared" si="1"/>
        <v>0</v>
      </c>
      <c r="H9" s="52">
        <f t="shared" si="1"/>
        <v>0</v>
      </c>
      <c r="I9" s="61">
        <f t="shared" si="1"/>
        <v>0</v>
      </c>
      <c r="J9" s="69">
        <f t="shared" si="1"/>
        <v>0</v>
      </c>
      <c r="K9" s="65">
        <f t="shared" si="1"/>
        <v>0</v>
      </c>
      <c r="L9" s="52">
        <f t="shared" si="1"/>
        <v>0</v>
      </c>
      <c r="M9" s="52">
        <f t="shared" si="1"/>
        <v>0</v>
      </c>
      <c r="N9" s="52">
        <f t="shared" si="1"/>
        <v>0</v>
      </c>
      <c r="O9" s="52">
        <f t="shared" si="1"/>
        <v>0</v>
      </c>
      <c r="P9" s="61">
        <f t="shared" si="1"/>
        <v>0</v>
      </c>
      <c r="Q9" s="69">
        <f t="shared" si="1"/>
        <v>0</v>
      </c>
      <c r="R9" s="65">
        <f>IF(R7=0,,(R8/R7)*1000)</f>
        <v>0</v>
      </c>
      <c r="S9" s="16"/>
    </row>
    <row r="10" spans="1:19" s="17" customFormat="1" ht="16.5" customHeight="1">
      <c r="A10" s="121" t="s">
        <v>83</v>
      </c>
      <c r="B10" s="30" t="s">
        <v>79</v>
      </c>
      <c r="C10" s="34" t="s">
        <v>1</v>
      </c>
      <c r="D10" s="56"/>
      <c r="E10" s="51"/>
      <c r="F10" s="51"/>
      <c r="G10" s="51"/>
      <c r="H10" s="51"/>
      <c r="I10" s="60"/>
      <c r="J10" s="68">
        <f>SUM(D10:I10)</f>
        <v>0</v>
      </c>
      <c r="K10" s="64"/>
      <c r="L10" s="51"/>
      <c r="M10" s="51"/>
      <c r="N10" s="51"/>
      <c r="O10" s="51"/>
      <c r="P10" s="60"/>
      <c r="Q10" s="68">
        <f>SUM(K10:P10)</f>
        <v>0</v>
      </c>
      <c r="R10" s="64">
        <f>Q10+J10</f>
        <v>0</v>
      </c>
      <c r="S10" s="16"/>
    </row>
    <row r="11" spans="1:19" s="17" customFormat="1" ht="16.5" customHeight="1">
      <c r="A11" s="122"/>
      <c r="B11" s="30" t="s">
        <v>80</v>
      </c>
      <c r="C11" s="34" t="s">
        <v>2</v>
      </c>
      <c r="D11" s="58"/>
      <c r="E11" s="53"/>
      <c r="F11" s="53"/>
      <c r="G11" s="53"/>
      <c r="H11" s="53"/>
      <c r="I11" s="62"/>
      <c r="J11" s="70">
        <f>SUM(D11:I11)</f>
        <v>0</v>
      </c>
      <c r="K11" s="66"/>
      <c r="L11" s="53"/>
      <c r="M11" s="53"/>
      <c r="N11" s="53"/>
      <c r="O11" s="53"/>
      <c r="P11" s="62"/>
      <c r="Q11" s="70">
        <f>SUM(K11:P11)</f>
        <v>0</v>
      </c>
      <c r="R11" s="66">
        <f>Q11+J11</f>
        <v>0</v>
      </c>
      <c r="S11" s="16"/>
    </row>
    <row r="12" spans="1:19" s="17" customFormat="1" ht="16.5" customHeight="1" thickBot="1">
      <c r="A12" s="123"/>
      <c r="B12" s="18" t="s">
        <v>81</v>
      </c>
      <c r="C12" s="35" t="s">
        <v>3</v>
      </c>
      <c r="D12" s="57">
        <f aca="true" t="shared" si="2" ref="D12:Q12">IF(D10=0,,D11/D10*1000)</f>
        <v>0</v>
      </c>
      <c r="E12" s="52">
        <f t="shared" si="2"/>
        <v>0</v>
      </c>
      <c r="F12" s="52">
        <f t="shared" si="2"/>
        <v>0</v>
      </c>
      <c r="G12" s="52">
        <f t="shared" si="2"/>
        <v>0</v>
      </c>
      <c r="H12" s="52">
        <f t="shared" si="2"/>
        <v>0</v>
      </c>
      <c r="I12" s="61">
        <f t="shared" si="2"/>
        <v>0</v>
      </c>
      <c r="J12" s="69">
        <f t="shared" si="2"/>
        <v>0</v>
      </c>
      <c r="K12" s="65">
        <f t="shared" si="2"/>
        <v>0</v>
      </c>
      <c r="L12" s="52">
        <f t="shared" si="2"/>
        <v>0</v>
      </c>
      <c r="M12" s="52">
        <f t="shared" si="2"/>
        <v>0</v>
      </c>
      <c r="N12" s="52">
        <f t="shared" si="2"/>
        <v>0</v>
      </c>
      <c r="O12" s="52">
        <f t="shared" si="2"/>
        <v>0</v>
      </c>
      <c r="P12" s="61">
        <f t="shared" si="2"/>
        <v>0</v>
      </c>
      <c r="Q12" s="69">
        <f t="shared" si="2"/>
        <v>0</v>
      </c>
      <c r="R12" s="65">
        <f>IF(R10=0,,(R11/R10)*1000)</f>
        <v>0</v>
      </c>
      <c r="S12" s="46"/>
    </row>
    <row r="13" spans="1:19" s="17" customFormat="1" ht="16.5" customHeight="1">
      <c r="A13" s="121" t="s">
        <v>94</v>
      </c>
      <c r="B13" s="30" t="s">
        <v>79</v>
      </c>
      <c r="C13" s="34" t="s">
        <v>1</v>
      </c>
      <c r="D13" s="56"/>
      <c r="E13" s="51"/>
      <c r="F13" s="51"/>
      <c r="G13" s="51"/>
      <c r="H13" s="51"/>
      <c r="I13" s="60"/>
      <c r="J13" s="68">
        <f>SUM(D13:I13)</f>
        <v>0</v>
      </c>
      <c r="K13" s="64"/>
      <c r="L13" s="51"/>
      <c r="M13" s="51"/>
      <c r="N13" s="51"/>
      <c r="O13" s="51"/>
      <c r="P13" s="60"/>
      <c r="Q13" s="68">
        <f>SUM(K13:P13)</f>
        <v>0</v>
      </c>
      <c r="R13" s="64">
        <f>Q13+J13</f>
        <v>0</v>
      </c>
      <c r="S13" s="16"/>
    </row>
    <row r="14" spans="1:19" s="17" customFormat="1" ht="16.5" customHeight="1">
      <c r="A14" s="122"/>
      <c r="B14" s="30" t="s">
        <v>80</v>
      </c>
      <c r="C14" s="34" t="s">
        <v>2</v>
      </c>
      <c r="D14" s="58"/>
      <c r="E14" s="53"/>
      <c r="F14" s="53"/>
      <c r="G14" s="53"/>
      <c r="H14" s="53"/>
      <c r="I14" s="62"/>
      <c r="J14" s="70">
        <f>SUM(D14:I14)</f>
        <v>0</v>
      </c>
      <c r="K14" s="66"/>
      <c r="L14" s="53"/>
      <c r="M14" s="53"/>
      <c r="N14" s="53"/>
      <c r="O14" s="53"/>
      <c r="P14" s="62"/>
      <c r="Q14" s="70">
        <f>SUM(K14:P14)</f>
        <v>0</v>
      </c>
      <c r="R14" s="66">
        <f>Q14+J14</f>
        <v>0</v>
      </c>
      <c r="S14" s="16"/>
    </row>
    <row r="15" spans="1:19" s="17" customFormat="1" ht="16.5" customHeight="1" thickBot="1">
      <c r="A15" s="123"/>
      <c r="B15" s="18" t="s">
        <v>81</v>
      </c>
      <c r="C15" s="35" t="s">
        <v>3</v>
      </c>
      <c r="D15" s="57">
        <f aca="true" t="shared" si="3" ref="D15:Q15">IF(D13=0,,D14/D13*1000)</f>
        <v>0</v>
      </c>
      <c r="E15" s="52">
        <f t="shared" si="3"/>
        <v>0</v>
      </c>
      <c r="F15" s="52">
        <f t="shared" si="3"/>
        <v>0</v>
      </c>
      <c r="G15" s="52">
        <f t="shared" si="3"/>
        <v>0</v>
      </c>
      <c r="H15" s="52">
        <f t="shared" si="3"/>
        <v>0</v>
      </c>
      <c r="I15" s="61">
        <f t="shared" si="3"/>
        <v>0</v>
      </c>
      <c r="J15" s="69">
        <f t="shared" si="3"/>
        <v>0</v>
      </c>
      <c r="K15" s="65">
        <f t="shared" si="3"/>
        <v>0</v>
      </c>
      <c r="L15" s="52">
        <f t="shared" si="3"/>
        <v>0</v>
      </c>
      <c r="M15" s="52">
        <f t="shared" si="3"/>
        <v>0</v>
      </c>
      <c r="N15" s="52">
        <f t="shared" si="3"/>
        <v>0</v>
      </c>
      <c r="O15" s="52">
        <f t="shared" si="3"/>
        <v>0</v>
      </c>
      <c r="P15" s="61">
        <f t="shared" si="3"/>
        <v>0</v>
      </c>
      <c r="Q15" s="69">
        <f t="shared" si="3"/>
        <v>0</v>
      </c>
      <c r="R15" s="65">
        <f>IF(R13=0,,(R14/R13)*1000)</f>
        <v>0</v>
      </c>
      <c r="S15" s="46"/>
    </row>
    <row r="16" spans="1:19" s="17" customFormat="1" ht="16.5" customHeight="1">
      <c r="A16" s="121" t="s">
        <v>96</v>
      </c>
      <c r="B16" s="30" t="s">
        <v>79</v>
      </c>
      <c r="C16" s="34" t="s">
        <v>1</v>
      </c>
      <c r="D16" s="56"/>
      <c r="E16" s="51"/>
      <c r="F16" s="51"/>
      <c r="G16" s="51"/>
      <c r="H16" s="51"/>
      <c r="I16" s="60"/>
      <c r="J16" s="68">
        <f>SUM(D16:I16)</f>
        <v>0</v>
      </c>
      <c r="K16" s="64"/>
      <c r="L16" s="51"/>
      <c r="M16" s="51"/>
      <c r="N16" s="51"/>
      <c r="O16" s="51"/>
      <c r="P16" s="60"/>
      <c r="Q16" s="68">
        <f>SUM(K16:P16)</f>
        <v>0</v>
      </c>
      <c r="R16" s="64">
        <f>Q16+J16</f>
        <v>0</v>
      </c>
      <c r="S16" s="16"/>
    </row>
    <row r="17" spans="1:19" s="17" customFormat="1" ht="16.5" customHeight="1">
      <c r="A17" s="122"/>
      <c r="B17" s="30" t="s">
        <v>80</v>
      </c>
      <c r="C17" s="34" t="s">
        <v>2</v>
      </c>
      <c r="D17" s="56"/>
      <c r="E17" s="51"/>
      <c r="F17" s="51"/>
      <c r="G17" s="51"/>
      <c r="H17" s="51"/>
      <c r="I17" s="60"/>
      <c r="J17" s="68">
        <f>SUM(D17:I17)</f>
        <v>0</v>
      </c>
      <c r="K17" s="64"/>
      <c r="L17" s="51"/>
      <c r="M17" s="51"/>
      <c r="N17" s="51"/>
      <c r="O17" s="51"/>
      <c r="P17" s="60"/>
      <c r="Q17" s="68">
        <f>SUM(K17:P17)</f>
        <v>0</v>
      </c>
      <c r="R17" s="64">
        <f>Q17+J17</f>
        <v>0</v>
      </c>
      <c r="S17" s="16"/>
    </row>
    <row r="18" spans="1:19" s="17" customFormat="1" ht="16.5" customHeight="1" thickBot="1">
      <c r="A18" s="123"/>
      <c r="B18" s="18" t="s">
        <v>81</v>
      </c>
      <c r="C18" s="35" t="s">
        <v>3</v>
      </c>
      <c r="D18" s="57">
        <f aca="true" t="shared" si="4" ref="D18:Q18">IF(D16=0,,D17/D16*1000)</f>
        <v>0</v>
      </c>
      <c r="E18" s="52">
        <f t="shared" si="4"/>
        <v>0</v>
      </c>
      <c r="F18" s="52">
        <f t="shared" si="4"/>
        <v>0</v>
      </c>
      <c r="G18" s="52">
        <f t="shared" si="4"/>
        <v>0</v>
      </c>
      <c r="H18" s="52">
        <f t="shared" si="4"/>
        <v>0</v>
      </c>
      <c r="I18" s="61">
        <f t="shared" si="4"/>
        <v>0</v>
      </c>
      <c r="J18" s="69">
        <f t="shared" si="4"/>
        <v>0</v>
      </c>
      <c r="K18" s="65">
        <f t="shared" si="4"/>
        <v>0</v>
      </c>
      <c r="L18" s="52">
        <f t="shared" si="4"/>
        <v>0</v>
      </c>
      <c r="M18" s="52">
        <f t="shared" si="4"/>
        <v>0</v>
      </c>
      <c r="N18" s="52">
        <f t="shared" si="4"/>
        <v>0</v>
      </c>
      <c r="O18" s="52">
        <f t="shared" si="4"/>
        <v>0</v>
      </c>
      <c r="P18" s="61">
        <f t="shared" si="4"/>
        <v>0</v>
      </c>
      <c r="Q18" s="69">
        <f t="shared" si="4"/>
        <v>0</v>
      </c>
      <c r="R18" s="65">
        <f>IF(R16=0,,(R17/R16)*1000)</f>
        <v>0</v>
      </c>
      <c r="S18" s="46"/>
    </row>
    <row r="19" spans="1:19" s="17" customFormat="1" ht="16.5" customHeight="1">
      <c r="A19" s="124" t="s">
        <v>84</v>
      </c>
      <c r="B19" s="30" t="s">
        <v>79</v>
      </c>
      <c r="C19" s="34" t="s">
        <v>1</v>
      </c>
      <c r="D19" s="56"/>
      <c r="E19" s="51"/>
      <c r="F19" s="51"/>
      <c r="G19" s="51"/>
      <c r="H19" s="51"/>
      <c r="I19" s="60"/>
      <c r="J19" s="68">
        <f>SUM(D19:I19)</f>
        <v>0</v>
      </c>
      <c r="K19" s="64"/>
      <c r="L19" s="51"/>
      <c r="M19" s="51"/>
      <c r="N19" s="51"/>
      <c r="O19" s="51"/>
      <c r="P19" s="60"/>
      <c r="Q19" s="68">
        <f>SUM(K19:P19)</f>
        <v>0</v>
      </c>
      <c r="R19" s="64">
        <f>Q19+J19</f>
        <v>0</v>
      </c>
      <c r="S19" s="16"/>
    </row>
    <row r="20" spans="1:19" s="17" customFormat="1" ht="16.5" customHeight="1">
      <c r="A20" s="125"/>
      <c r="B20" s="30" t="s">
        <v>80</v>
      </c>
      <c r="C20" s="34" t="s">
        <v>2</v>
      </c>
      <c r="D20" s="56"/>
      <c r="E20" s="51"/>
      <c r="F20" s="51"/>
      <c r="G20" s="51"/>
      <c r="H20" s="51"/>
      <c r="I20" s="60"/>
      <c r="J20" s="68">
        <f>SUM(D20:I20)</f>
        <v>0</v>
      </c>
      <c r="K20" s="64"/>
      <c r="L20" s="51"/>
      <c r="M20" s="51"/>
      <c r="N20" s="51"/>
      <c r="O20" s="51"/>
      <c r="P20" s="60"/>
      <c r="Q20" s="68">
        <f>SUM(K20:P20)</f>
        <v>0</v>
      </c>
      <c r="R20" s="64">
        <f>Q20+J20</f>
        <v>0</v>
      </c>
      <c r="S20" s="16"/>
    </row>
    <row r="21" spans="1:19" s="17" customFormat="1" ht="16.5" customHeight="1" thickBot="1">
      <c r="A21" s="126"/>
      <c r="B21" s="18" t="s">
        <v>81</v>
      </c>
      <c r="C21" s="35" t="s">
        <v>3</v>
      </c>
      <c r="D21" s="57">
        <f aca="true" t="shared" si="5" ref="D21:Q21">IF(D19=0,,D20/D19*1000)</f>
        <v>0</v>
      </c>
      <c r="E21" s="52">
        <f t="shared" si="5"/>
        <v>0</v>
      </c>
      <c r="F21" s="52">
        <f t="shared" si="5"/>
        <v>0</v>
      </c>
      <c r="G21" s="52">
        <f t="shared" si="5"/>
        <v>0</v>
      </c>
      <c r="H21" s="52">
        <f t="shared" si="5"/>
        <v>0</v>
      </c>
      <c r="I21" s="61">
        <f t="shared" si="5"/>
        <v>0</v>
      </c>
      <c r="J21" s="69">
        <f t="shared" si="5"/>
        <v>0</v>
      </c>
      <c r="K21" s="65">
        <f t="shared" si="5"/>
        <v>0</v>
      </c>
      <c r="L21" s="52">
        <f t="shared" si="5"/>
        <v>0</v>
      </c>
      <c r="M21" s="52">
        <f t="shared" si="5"/>
        <v>0</v>
      </c>
      <c r="N21" s="52">
        <f t="shared" si="5"/>
        <v>0</v>
      </c>
      <c r="O21" s="52">
        <f t="shared" si="5"/>
        <v>0</v>
      </c>
      <c r="P21" s="61">
        <f t="shared" si="5"/>
        <v>0</v>
      </c>
      <c r="Q21" s="69">
        <f t="shared" si="5"/>
        <v>0</v>
      </c>
      <c r="R21" s="65">
        <f>IF(R19=0,,(R20/R19)*1000)</f>
        <v>0</v>
      </c>
      <c r="S21" s="46"/>
    </row>
    <row r="22" spans="1:19" s="17" customFormat="1" ht="16.5" customHeight="1">
      <c r="A22" s="121" t="s">
        <v>85</v>
      </c>
      <c r="B22" s="30" t="s">
        <v>79</v>
      </c>
      <c r="C22" s="34" t="s">
        <v>1</v>
      </c>
      <c r="D22" s="56"/>
      <c r="E22" s="51"/>
      <c r="F22" s="51"/>
      <c r="G22" s="51"/>
      <c r="H22" s="51"/>
      <c r="I22" s="60"/>
      <c r="J22" s="68">
        <f>SUM(D22:I22)</f>
        <v>0</v>
      </c>
      <c r="K22" s="64"/>
      <c r="L22" s="51"/>
      <c r="M22" s="51"/>
      <c r="N22" s="51"/>
      <c r="O22" s="51"/>
      <c r="P22" s="60"/>
      <c r="Q22" s="68">
        <f>SUM(K22:P22)</f>
        <v>0</v>
      </c>
      <c r="R22" s="64">
        <f>Q22+J22</f>
        <v>0</v>
      </c>
      <c r="S22" s="16"/>
    </row>
    <row r="23" spans="1:19" s="17" customFormat="1" ht="16.5" customHeight="1">
      <c r="A23" s="122"/>
      <c r="B23" s="30" t="s">
        <v>80</v>
      </c>
      <c r="C23" s="34" t="s">
        <v>2</v>
      </c>
      <c r="D23" s="56"/>
      <c r="E23" s="51"/>
      <c r="F23" s="51"/>
      <c r="G23" s="51"/>
      <c r="H23" s="51"/>
      <c r="I23" s="60"/>
      <c r="J23" s="68">
        <f>SUM(D23:I23)</f>
        <v>0</v>
      </c>
      <c r="K23" s="64"/>
      <c r="L23" s="51"/>
      <c r="M23" s="51"/>
      <c r="N23" s="51"/>
      <c r="O23" s="51"/>
      <c r="P23" s="60"/>
      <c r="Q23" s="68">
        <f>SUM(K23:P23)</f>
        <v>0</v>
      </c>
      <c r="R23" s="64">
        <f>Q23+J23</f>
        <v>0</v>
      </c>
      <c r="S23" s="16"/>
    </row>
    <row r="24" spans="1:19" s="17" customFormat="1" ht="16.5" customHeight="1" thickBot="1">
      <c r="A24" s="123"/>
      <c r="B24" s="18" t="s">
        <v>81</v>
      </c>
      <c r="C24" s="35" t="s">
        <v>3</v>
      </c>
      <c r="D24" s="57">
        <f aca="true" t="shared" si="6" ref="D24:Q24">IF(D22=0,,D23/D22*1000)</f>
        <v>0</v>
      </c>
      <c r="E24" s="52">
        <f t="shared" si="6"/>
        <v>0</v>
      </c>
      <c r="F24" s="52">
        <f t="shared" si="6"/>
        <v>0</v>
      </c>
      <c r="G24" s="52">
        <f t="shared" si="6"/>
        <v>0</v>
      </c>
      <c r="H24" s="52">
        <f t="shared" si="6"/>
        <v>0</v>
      </c>
      <c r="I24" s="61">
        <f t="shared" si="6"/>
        <v>0</v>
      </c>
      <c r="J24" s="69">
        <f t="shared" si="6"/>
        <v>0</v>
      </c>
      <c r="K24" s="65">
        <f t="shared" si="6"/>
        <v>0</v>
      </c>
      <c r="L24" s="52">
        <f t="shared" si="6"/>
        <v>0</v>
      </c>
      <c r="M24" s="52">
        <f t="shared" si="6"/>
        <v>0</v>
      </c>
      <c r="N24" s="52">
        <f t="shared" si="6"/>
        <v>0</v>
      </c>
      <c r="O24" s="52">
        <f t="shared" si="6"/>
        <v>0</v>
      </c>
      <c r="P24" s="61">
        <f t="shared" si="6"/>
        <v>0</v>
      </c>
      <c r="Q24" s="69">
        <f t="shared" si="6"/>
        <v>0</v>
      </c>
      <c r="R24" s="65">
        <f>IF(R22=0,,(R23/R22)*1000)</f>
        <v>0</v>
      </c>
      <c r="S24" s="46"/>
    </row>
    <row r="25" spans="1:19" s="17" customFormat="1" ht="16.5" customHeight="1">
      <c r="A25" s="121" t="s">
        <v>86</v>
      </c>
      <c r="B25" s="30" t="s">
        <v>79</v>
      </c>
      <c r="C25" s="34" t="s">
        <v>1</v>
      </c>
      <c r="D25" s="56"/>
      <c r="E25" s="51"/>
      <c r="F25" s="51"/>
      <c r="G25" s="51"/>
      <c r="H25" s="51"/>
      <c r="I25" s="60"/>
      <c r="J25" s="68">
        <f>SUM(D25:I25)</f>
        <v>0</v>
      </c>
      <c r="K25" s="64"/>
      <c r="L25" s="51"/>
      <c r="M25" s="51"/>
      <c r="N25" s="51"/>
      <c r="O25" s="51"/>
      <c r="P25" s="60"/>
      <c r="Q25" s="68">
        <f>SUM(K25:P25)</f>
        <v>0</v>
      </c>
      <c r="R25" s="64">
        <f>Q25+J25</f>
        <v>0</v>
      </c>
      <c r="S25" s="16"/>
    </row>
    <row r="26" spans="1:19" s="17" customFormat="1" ht="16.5" customHeight="1">
      <c r="A26" s="122"/>
      <c r="B26" s="30" t="s">
        <v>80</v>
      </c>
      <c r="C26" s="34" t="s">
        <v>2</v>
      </c>
      <c r="D26" s="56"/>
      <c r="E26" s="51"/>
      <c r="F26" s="51"/>
      <c r="G26" s="51"/>
      <c r="H26" s="51"/>
      <c r="I26" s="60"/>
      <c r="J26" s="68">
        <f>SUM(D26:I26)</f>
        <v>0</v>
      </c>
      <c r="K26" s="64"/>
      <c r="L26" s="51"/>
      <c r="M26" s="51"/>
      <c r="N26" s="51"/>
      <c r="O26" s="51"/>
      <c r="P26" s="60"/>
      <c r="Q26" s="68">
        <f>SUM(K26:P26)</f>
        <v>0</v>
      </c>
      <c r="R26" s="64">
        <f>Q26+J26</f>
        <v>0</v>
      </c>
      <c r="S26" s="16"/>
    </row>
    <row r="27" spans="1:19" s="17" customFormat="1" ht="16.5" customHeight="1" thickBot="1">
      <c r="A27" s="123"/>
      <c r="B27" s="18" t="s">
        <v>81</v>
      </c>
      <c r="C27" s="35" t="s">
        <v>3</v>
      </c>
      <c r="D27" s="57">
        <f aca="true" t="shared" si="7" ref="D27:Q27">IF(D25=0,,D26/D25*1000)</f>
        <v>0</v>
      </c>
      <c r="E27" s="52">
        <f t="shared" si="7"/>
        <v>0</v>
      </c>
      <c r="F27" s="52">
        <f t="shared" si="7"/>
        <v>0</v>
      </c>
      <c r="G27" s="52">
        <f t="shared" si="7"/>
        <v>0</v>
      </c>
      <c r="H27" s="52">
        <f t="shared" si="7"/>
        <v>0</v>
      </c>
      <c r="I27" s="61">
        <f t="shared" si="7"/>
        <v>0</v>
      </c>
      <c r="J27" s="69">
        <f t="shared" si="7"/>
        <v>0</v>
      </c>
      <c r="K27" s="65">
        <f t="shared" si="7"/>
        <v>0</v>
      </c>
      <c r="L27" s="52">
        <f t="shared" si="7"/>
        <v>0</v>
      </c>
      <c r="M27" s="52">
        <f t="shared" si="7"/>
        <v>0</v>
      </c>
      <c r="N27" s="52">
        <f t="shared" si="7"/>
        <v>0</v>
      </c>
      <c r="O27" s="52">
        <f t="shared" si="7"/>
        <v>0</v>
      </c>
      <c r="P27" s="61">
        <f t="shared" si="7"/>
        <v>0</v>
      </c>
      <c r="Q27" s="69">
        <f t="shared" si="7"/>
        <v>0</v>
      </c>
      <c r="R27" s="65">
        <f>IF(R25=0,,(R26/R25)*1000)</f>
        <v>0</v>
      </c>
      <c r="S27" s="46"/>
    </row>
    <row r="28" spans="1:19" s="17" customFormat="1" ht="16.5" customHeight="1">
      <c r="A28" s="121" t="s">
        <v>87</v>
      </c>
      <c r="B28" s="30" t="s">
        <v>79</v>
      </c>
      <c r="C28" s="34" t="s">
        <v>1</v>
      </c>
      <c r="D28" s="56"/>
      <c r="E28" s="51"/>
      <c r="F28" s="51"/>
      <c r="G28" s="51"/>
      <c r="H28" s="51"/>
      <c r="I28" s="60"/>
      <c r="J28" s="68">
        <f>SUM(D28:I28)</f>
        <v>0</v>
      </c>
      <c r="K28" s="64"/>
      <c r="L28" s="51"/>
      <c r="M28" s="51"/>
      <c r="N28" s="51"/>
      <c r="O28" s="51"/>
      <c r="P28" s="60"/>
      <c r="Q28" s="68">
        <f>SUM(K28:P28)</f>
        <v>0</v>
      </c>
      <c r="R28" s="64">
        <f>Q28+J28</f>
        <v>0</v>
      </c>
      <c r="S28" s="16"/>
    </row>
    <row r="29" spans="1:19" s="17" customFormat="1" ht="16.5" customHeight="1">
      <c r="A29" s="122"/>
      <c r="B29" s="30" t="s">
        <v>80</v>
      </c>
      <c r="C29" s="34" t="s">
        <v>2</v>
      </c>
      <c r="D29" s="56"/>
      <c r="E29" s="51"/>
      <c r="F29" s="51"/>
      <c r="G29" s="51"/>
      <c r="H29" s="51"/>
      <c r="I29" s="60"/>
      <c r="J29" s="68">
        <f>SUM(D29:I29)</f>
        <v>0</v>
      </c>
      <c r="K29" s="64"/>
      <c r="L29" s="51"/>
      <c r="M29" s="51"/>
      <c r="N29" s="51"/>
      <c r="O29" s="51"/>
      <c r="P29" s="60"/>
      <c r="Q29" s="68">
        <f>SUM(K29:P29)</f>
        <v>0</v>
      </c>
      <c r="R29" s="64">
        <f>Q29+J29</f>
        <v>0</v>
      </c>
      <c r="S29" s="16"/>
    </row>
    <row r="30" spans="1:19" s="17" customFormat="1" ht="16.5" customHeight="1" thickBot="1">
      <c r="A30" s="123"/>
      <c r="B30" s="18" t="s">
        <v>81</v>
      </c>
      <c r="C30" s="35" t="s">
        <v>3</v>
      </c>
      <c r="D30" s="57">
        <f aca="true" t="shared" si="8" ref="D30:Q30">IF(D28=0,,D29/D28*1000)</f>
        <v>0</v>
      </c>
      <c r="E30" s="52">
        <f t="shared" si="8"/>
        <v>0</v>
      </c>
      <c r="F30" s="52">
        <f t="shared" si="8"/>
        <v>0</v>
      </c>
      <c r="G30" s="52">
        <f t="shared" si="8"/>
        <v>0</v>
      </c>
      <c r="H30" s="52">
        <f t="shared" si="8"/>
        <v>0</v>
      </c>
      <c r="I30" s="61">
        <f t="shared" si="8"/>
        <v>0</v>
      </c>
      <c r="J30" s="69">
        <f t="shared" si="8"/>
        <v>0</v>
      </c>
      <c r="K30" s="65">
        <f t="shared" si="8"/>
        <v>0</v>
      </c>
      <c r="L30" s="52">
        <f t="shared" si="8"/>
        <v>0</v>
      </c>
      <c r="M30" s="52">
        <f t="shared" si="8"/>
        <v>0</v>
      </c>
      <c r="N30" s="52">
        <f t="shared" si="8"/>
        <v>0</v>
      </c>
      <c r="O30" s="52">
        <f t="shared" si="8"/>
        <v>0</v>
      </c>
      <c r="P30" s="61">
        <f t="shared" si="8"/>
        <v>0</v>
      </c>
      <c r="Q30" s="69">
        <f t="shared" si="8"/>
        <v>0</v>
      </c>
      <c r="R30" s="65">
        <f>IF(R28=0,,(R29/R28)*1000)</f>
        <v>0</v>
      </c>
      <c r="S30" s="46"/>
    </row>
    <row r="31" spans="1:19" s="17" customFormat="1" ht="16.5" customHeight="1">
      <c r="A31" s="121" t="s">
        <v>88</v>
      </c>
      <c r="B31" s="30" t="s">
        <v>79</v>
      </c>
      <c r="C31" s="34" t="s">
        <v>1</v>
      </c>
      <c r="D31" s="56"/>
      <c r="E31" s="51"/>
      <c r="F31" s="51"/>
      <c r="G31" s="51"/>
      <c r="H31" s="51"/>
      <c r="I31" s="60"/>
      <c r="J31" s="68">
        <f>SUM(D31:I31)</f>
        <v>0</v>
      </c>
      <c r="K31" s="64"/>
      <c r="L31" s="51"/>
      <c r="M31" s="51"/>
      <c r="N31" s="51"/>
      <c r="O31" s="51"/>
      <c r="P31" s="60"/>
      <c r="Q31" s="68">
        <f>SUM(K31:P31)</f>
        <v>0</v>
      </c>
      <c r="R31" s="64">
        <f>Q31+J31</f>
        <v>0</v>
      </c>
      <c r="S31" s="16"/>
    </row>
    <row r="32" spans="1:19" s="17" customFormat="1" ht="16.5" customHeight="1">
      <c r="A32" s="122"/>
      <c r="B32" s="30" t="s">
        <v>80</v>
      </c>
      <c r="C32" s="34" t="s">
        <v>2</v>
      </c>
      <c r="D32" s="58"/>
      <c r="E32" s="53"/>
      <c r="F32" s="53"/>
      <c r="G32" s="53"/>
      <c r="H32" s="53"/>
      <c r="I32" s="62"/>
      <c r="J32" s="70">
        <f>SUM(D32:I32)</f>
        <v>0</v>
      </c>
      <c r="K32" s="66"/>
      <c r="L32" s="53"/>
      <c r="M32" s="53"/>
      <c r="N32" s="53"/>
      <c r="O32" s="53"/>
      <c r="P32" s="62"/>
      <c r="Q32" s="70">
        <f>SUM(K32:P32)</f>
        <v>0</v>
      </c>
      <c r="R32" s="66">
        <f>Q32+J32</f>
        <v>0</v>
      </c>
      <c r="S32" s="16"/>
    </row>
    <row r="33" spans="1:19" s="17" customFormat="1" ht="16.5" customHeight="1" thickBot="1">
      <c r="A33" s="123"/>
      <c r="B33" s="18" t="s">
        <v>81</v>
      </c>
      <c r="C33" s="35" t="s">
        <v>3</v>
      </c>
      <c r="D33" s="57">
        <f aca="true" t="shared" si="9" ref="D33:Q33">IF(D31=0,,D32/D31*1000)</f>
        <v>0</v>
      </c>
      <c r="E33" s="52">
        <f t="shared" si="9"/>
        <v>0</v>
      </c>
      <c r="F33" s="52">
        <f t="shared" si="9"/>
        <v>0</v>
      </c>
      <c r="G33" s="52">
        <f t="shared" si="9"/>
        <v>0</v>
      </c>
      <c r="H33" s="52">
        <f t="shared" si="9"/>
        <v>0</v>
      </c>
      <c r="I33" s="61">
        <f t="shared" si="9"/>
        <v>0</v>
      </c>
      <c r="J33" s="69">
        <f t="shared" si="9"/>
        <v>0</v>
      </c>
      <c r="K33" s="65">
        <f t="shared" si="9"/>
        <v>0</v>
      </c>
      <c r="L33" s="52">
        <f t="shared" si="9"/>
        <v>0</v>
      </c>
      <c r="M33" s="52">
        <f t="shared" si="9"/>
        <v>0</v>
      </c>
      <c r="N33" s="52">
        <f t="shared" si="9"/>
        <v>0</v>
      </c>
      <c r="O33" s="52">
        <f t="shared" si="9"/>
        <v>0</v>
      </c>
      <c r="P33" s="61">
        <f t="shared" si="9"/>
        <v>0</v>
      </c>
      <c r="Q33" s="69">
        <f t="shared" si="9"/>
        <v>0</v>
      </c>
      <c r="R33" s="65">
        <f>IF(R31=0,,(R32/R31)*1000)</f>
        <v>0</v>
      </c>
      <c r="S33" s="46"/>
    </row>
    <row r="34" spans="1:19" s="17" customFormat="1" ht="16.5" customHeight="1">
      <c r="A34" s="121" t="s">
        <v>89</v>
      </c>
      <c r="B34" s="30" t="s">
        <v>79</v>
      </c>
      <c r="C34" s="34" t="s">
        <v>1</v>
      </c>
      <c r="D34" s="56"/>
      <c r="E34" s="51"/>
      <c r="F34" s="51"/>
      <c r="G34" s="51"/>
      <c r="H34" s="51"/>
      <c r="I34" s="60"/>
      <c r="J34" s="68">
        <f>SUM(D34:I34)</f>
        <v>0</v>
      </c>
      <c r="K34" s="64"/>
      <c r="L34" s="51"/>
      <c r="M34" s="51"/>
      <c r="N34" s="51"/>
      <c r="O34" s="51"/>
      <c r="P34" s="60"/>
      <c r="Q34" s="68">
        <f>SUM(K34:P34)</f>
        <v>0</v>
      </c>
      <c r="R34" s="64">
        <f>Q34+J34</f>
        <v>0</v>
      </c>
      <c r="S34" s="16"/>
    </row>
    <row r="35" spans="1:19" s="17" customFormat="1" ht="16.5" customHeight="1">
      <c r="A35" s="122"/>
      <c r="B35" s="30" t="s">
        <v>80</v>
      </c>
      <c r="C35" s="34" t="s">
        <v>2</v>
      </c>
      <c r="D35" s="56"/>
      <c r="E35" s="51"/>
      <c r="F35" s="51"/>
      <c r="G35" s="51"/>
      <c r="H35" s="51"/>
      <c r="I35" s="60"/>
      <c r="J35" s="68">
        <f>SUM(D35:I35)</f>
        <v>0</v>
      </c>
      <c r="K35" s="64"/>
      <c r="L35" s="51"/>
      <c r="M35" s="51"/>
      <c r="N35" s="51"/>
      <c r="O35" s="51"/>
      <c r="P35" s="60"/>
      <c r="Q35" s="68">
        <f>SUM(K35:P35)</f>
        <v>0</v>
      </c>
      <c r="R35" s="64">
        <f>Q35+J35</f>
        <v>0</v>
      </c>
      <c r="S35" s="16"/>
    </row>
    <row r="36" spans="1:19" s="17" customFormat="1" ht="16.5" customHeight="1" thickBot="1">
      <c r="A36" s="123"/>
      <c r="B36" s="18" t="s">
        <v>81</v>
      </c>
      <c r="C36" s="35" t="s">
        <v>3</v>
      </c>
      <c r="D36" s="57">
        <f aca="true" t="shared" si="10" ref="D36:Q36">IF(D34=0,,D35/D34*1000)</f>
        <v>0</v>
      </c>
      <c r="E36" s="52">
        <f t="shared" si="10"/>
        <v>0</v>
      </c>
      <c r="F36" s="52">
        <f t="shared" si="10"/>
        <v>0</v>
      </c>
      <c r="G36" s="52">
        <f t="shared" si="10"/>
        <v>0</v>
      </c>
      <c r="H36" s="52">
        <f t="shared" si="10"/>
        <v>0</v>
      </c>
      <c r="I36" s="61">
        <f t="shared" si="10"/>
        <v>0</v>
      </c>
      <c r="J36" s="69">
        <f t="shared" si="10"/>
        <v>0</v>
      </c>
      <c r="K36" s="65">
        <f t="shared" si="10"/>
        <v>0</v>
      </c>
      <c r="L36" s="52">
        <f t="shared" si="10"/>
        <v>0</v>
      </c>
      <c r="M36" s="52">
        <f t="shared" si="10"/>
        <v>0</v>
      </c>
      <c r="N36" s="52">
        <f t="shared" si="10"/>
        <v>0</v>
      </c>
      <c r="O36" s="52">
        <f t="shared" si="10"/>
        <v>0</v>
      </c>
      <c r="P36" s="61">
        <f t="shared" si="10"/>
        <v>0</v>
      </c>
      <c r="Q36" s="69">
        <f t="shared" si="10"/>
        <v>0</v>
      </c>
      <c r="R36" s="65">
        <f>IF(R34=0,,(R35/R34)*1000)</f>
        <v>0</v>
      </c>
      <c r="S36" s="46"/>
    </row>
    <row r="37" spans="1:19" s="17" customFormat="1" ht="16.5" customHeight="1">
      <c r="A37" s="121" t="s">
        <v>90</v>
      </c>
      <c r="B37" s="30" t="s">
        <v>79</v>
      </c>
      <c r="C37" s="34" t="s">
        <v>1</v>
      </c>
      <c r="D37" s="59"/>
      <c r="E37" s="54"/>
      <c r="F37" s="54"/>
      <c r="G37" s="54"/>
      <c r="H37" s="54"/>
      <c r="I37" s="63"/>
      <c r="J37" s="71">
        <f>SUM(D37:I37)</f>
        <v>0</v>
      </c>
      <c r="K37" s="67"/>
      <c r="L37" s="54"/>
      <c r="M37" s="54"/>
      <c r="N37" s="54"/>
      <c r="O37" s="54"/>
      <c r="P37" s="63"/>
      <c r="Q37" s="71">
        <f>SUM(K37:P37)</f>
        <v>0</v>
      </c>
      <c r="R37" s="67">
        <f>Q37+J37</f>
        <v>0</v>
      </c>
      <c r="S37" s="16"/>
    </row>
    <row r="38" spans="1:19" s="17" customFormat="1" ht="16.5" customHeight="1">
      <c r="A38" s="122"/>
      <c r="B38" s="30" t="s">
        <v>80</v>
      </c>
      <c r="C38" s="34" t="s">
        <v>2</v>
      </c>
      <c r="D38" s="58"/>
      <c r="E38" s="53"/>
      <c r="F38" s="53"/>
      <c r="G38" s="53"/>
      <c r="H38" s="53"/>
      <c r="I38" s="62"/>
      <c r="J38" s="70">
        <f>SUM(D38:I38)</f>
        <v>0</v>
      </c>
      <c r="K38" s="66"/>
      <c r="L38" s="53"/>
      <c r="M38" s="53"/>
      <c r="N38" s="53"/>
      <c r="O38" s="53"/>
      <c r="P38" s="62"/>
      <c r="Q38" s="70">
        <f>SUM(K38:P38)</f>
        <v>0</v>
      </c>
      <c r="R38" s="66">
        <f>Q38+J38</f>
        <v>0</v>
      </c>
      <c r="S38" s="16"/>
    </row>
    <row r="39" spans="1:19" s="17" customFormat="1" ht="16.5" customHeight="1" thickBot="1">
      <c r="A39" s="123"/>
      <c r="B39" s="18" t="s">
        <v>81</v>
      </c>
      <c r="C39" s="35" t="s">
        <v>3</v>
      </c>
      <c r="D39" s="57">
        <f aca="true" t="shared" si="11" ref="D39:Q39">IF(D37=0,,D38/D37*1000)</f>
        <v>0</v>
      </c>
      <c r="E39" s="52">
        <f t="shared" si="11"/>
        <v>0</v>
      </c>
      <c r="F39" s="52">
        <f t="shared" si="11"/>
        <v>0</v>
      </c>
      <c r="G39" s="52">
        <f t="shared" si="11"/>
        <v>0</v>
      </c>
      <c r="H39" s="52">
        <f t="shared" si="11"/>
        <v>0</v>
      </c>
      <c r="I39" s="61">
        <f t="shared" si="11"/>
        <v>0</v>
      </c>
      <c r="J39" s="69">
        <f t="shared" si="11"/>
        <v>0</v>
      </c>
      <c r="K39" s="65">
        <f t="shared" si="11"/>
        <v>0</v>
      </c>
      <c r="L39" s="52">
        <f t="shared" si="11"/>
        <v>0</v>
      </c>
      <c r="M39" s="52">
        <f t="shared" si="11"/>
        <v>0</v>
      </c>
      <c r="N39" s="52">
        <f t="shared" si="11"/>
        <v>0</v>
      </c>
      <c r="O39" s="52">
        <f t="shared" si="11"/>
        <v>0</v>
      </c>
      <c r="P39" s="61">
        <f t="shared" si="11"/>
        <v>0</v>
      </c>
      <c r="Q39" s="69">
        <f t="shared" si="11"/>
        <v>0</v>
      </c>
      <c r="R39" s="65">
        <f>IF(R37=0,,(R38/R37)*1000)</f>
        <v>0</v>
      </c>
      <c r="S39" s="46"/>
    </row>
    <row r="40" spans="1:19" s="17" customFormat="1" ht="16.5" customHeight="1">
      <c r="A40" s="121" t="s">
        <v>4</v>
      </c>
      <c r="B40" s="30" t="s">
        <v>79</v>
      </c>
      <c r="C40" s="34" t="s">
        <v>1</v>
      </c>
      <c r="D40" s="59"/>
      <c r="E40" s="54"/>
      <c r="F40" s="54"/>
      <c r="G40" s="54"/>
      <c r="H40" s="54"/>
      <c r="I40" s="63"/>
      <c r="J40" s="71">
        <f>SUM(D40:I40)</f>
        <v>0</v>
      </c>
      <c r="K40" s="67"/>
      <c r="L40" s="54"/>
      <c r="M40" s="54"/>
      <c r="N40" s="54">
        <f aca="true" t="shared" si="12" ref="N40:P41">N4+N7+N10+N13+N16+N19+N22+N25+N28+N31+N34+N37</f>
        <v>0</v>
      </c>
      <c r="O40" s="54">
        <f t="shared" si="12"/>
        <v>0</v>
      </c>
      <c r="P40" s="63">
        <f t="shared" si="12"/>
        <v>0</v>
      </c>
      <c r="Q40" s="71">
        <f>SUM(K40:P40)</f>
        <v>0</v>
      </c>
      <c r="R40" s="67">
        <f>Q40+J40</f>
        <v>0</v>
      </c>
      <c r="S40" s="47"/>
    </row>
    <row r="41" spans="1:19" s="17" customFormat="1" ht="16.5" customHeight="1">
      <c r="A41" s="122"/>
      <c r="B41" s="30" t="s">
        <v>80</v>
      </c>
      <c r="C41" s="34" t="s">
        <v>2</v>
      </c>
      <c r="D41" s="58"/>
      <c r="E41" s="53"/>
      <c r="F41" s="53"/>
      <c r="G41" s="53"/>
      <c r="H41" s="53"/>
      <c r="I41" s="62"/>
      <c r="J41" s="70">
        <f>SUM(D41:I41)</f>
        <v>0</v>
      </c>
      <c r="K41" s="66"/>
      <c r="L41" s="53"/>
      <c r="M41" s="53"/>
      <c r="N41" s="53">
        <f t="shared" si="12"/>
        <v>0</v>
      </c>
      <c r="O41" s="53">
        <f t="shared" si="12"/>
        <v>0</v>
      </c>
      <c r="P41" s="62">
        <f t="shared" si="12"/>
        <v>0</v>
      </c>
      <c r="Q41" s="70">
        <f>SUM(K41:P41)</f>
        <v>0</v>
      </c>
      <c r="R41" s="66">
        <f>Q41+J41</f>
        <v>0</v>
      </c>
      <c r="S41" s="16"/>
    </row>
    <row r="42" spans="1:19" s="17" customFormat="1" ht="16.5" customHeight="1" thickBot="1">
      <c r="A42" s="123"/>
      <c r="B42" s="18" t="s">
        <v>81</v>
      </c>
      <c r="C42" s="35" t="s">
        <v>3</v>
      </c>
      <c r="D42" s="57">
        <f aca="true" t="shared" si="13" ref="D42:Q42">IF(D40=0,,D41/D40*1000)</f>
        <v>0</v>
      </c>
      <c r="E42" s="52">
        <f t="shared" si="13"/>
        <v>0</v>
      </c>
      <c r="F42" s="52">
        <f t="shared" si="13"/>
        <v>0</v>
      </c>
      <c r="G42" s="52">
        <f t="shared" si="13"/>
        <v>0</v>
      </c>
      <c r="H42" s="52">
        <f t="shared" si="13"/>
        <v>0</v>
      </c>
      <c r="I42" s="61">
        <f t="shared" si="13"/>
        <v>0</v>
      </c>
      <c r="J42" s="69">
        <f t="shared" si="13"/>
        <v>0</v>
      </c>
      <c r="K42" s="65">
        <f t="shared" si="13"/>
        <v>0</v>
      </c>
      <c r="L42" s="52">
        <f t="shared" si="13"/>
        <v>0</v>
      </c>
      <c r="M42" s="52">
        <f t="shared" si="13"/>
        <v>0</v>
      </c>
      <c r="N42" s="52">
        <f t="shared" si="13"/>
        <v>0</v>
      </c>
      <c r="O42" s="52">
        <f t="shared" si="13"/>
        <v>0</v>
      </c>
      <c r="P42" s="61">
        <f t="shared" si="13"/>
        <v>0</v>
      </c>
      <c r="Q42" s="69">
        <f t="shared" si="13"/>
        <v>0</v>
      </c>
      <c r="R42" s="65">
        <f>IF(R40=0,,(R41/R40)*1000)</f>
        <v>0</v>
      </c>
      <c r="S42" s="46"/>
    </row>
    <row r="43" spans="1:19" s="17" customFormat="1" ht="24" customHeight="1" thickBot="1">
      <c r="A43" s="127" t="s">
        <v>91</v>
      </c>
      <c r="B43" s="128"/>
      <c r="C43" s="129"/>
      <c r="D43" s="74">
        <f>'総合計'!D43</f>
        <v>98.82</v>
      </c>
      <c r="E43" s="75">
        <f>'総合計'!E43</f>
        <v>97.81</v>
      </c>
      <c r="F43" s="75">
        <f>'総合計'!F43</f>
        <v>96.17</v>
      </c>
      <c r="G43" s="75">
        <f>'総合計'!G43</f>
        <v>95.09</v>
      </c>
      <c r="H43" s="75">
        <f>'総合計'!H43</f>
        <v>94.97</v>
      </c>
      <c r="I43" s="76">
        <f>'総合計'!I43</f>
        <v>93.05</v>
      </c>
      <c r="J43" s="77">
        <f>'総合計'!J43</f>
        <v>95.92</v>
      </c>
      <c r="K43" s="78">
        <f>'総合計'!K43</f>
        <v>89.99</v>
      </c>
      <c r="L43" s="75">
        <f>'総合計'!L43</f>
        <v>90.61</v>
      </c>
      <c r="M43" s="75">
        <f>'総合計'!M43</f>
        <v>88.33</v>
      </c>
      <c r="N43" s="75">
        <f>'総合計'!N43</f>
        <v>91.61</v>
      </c>
      <c r="O43" s="75">
        <f>'総合計'!O43</f>
        <v>90.22</v>
      </c>
      <c r="P43" s="76">
        <f>'総合計'!P43</f>
        <v>90.11</v>
      </c>
      <c r="Q43" s="77">
        <f>'総合計'!Q43</f>
        <v>90.16</v>
      </c>
      <c r="R43" s="79">
        <f>'総合計'!R43</f>
        <v>92.97</v>
      </c>
      <c r="S43" s="16"/>
    </row>
    <row r="44" spans="1:4" ht="16.5" customHeight="1">
      <c r="A44" s="97" t="str">
        <f>'総合計'!A53</f>
        <v>※数値はすべて確定値。</v>
      </c>
      <c r="D44" s="48"/>
    </row>
  </sheetData>
  <mergeCells count="14">
    <mergeCell ref="A40:A42"/>
    <mergeCell ref="A43:C43"/>
    <mergeCell ref="A28:A30"/>
    <mergeCell ref="A31:A33"/>
    <mergeCell ref="A34:A36"/>
    <mergeCell ref="A37:A39"/>
    <mergeCell ref="A16:A18"/>
    <mergeCell ref="A19:A21"/>
    <mergeCell ref="A22:A24"/>
    <mergeCell ref="A25:A27"/>
    <mergeCell ref="A4:A6"/>
    <mergeCell ref="A7:A9"/>
    <mergeCell ref="A10:A12"/>
    <mergeCell ref="A13:A15"/>
  </mergeCells>
  <printOptions horizontalCentered="1" verticalCentered="1"/>
  <pageMargins left="0.3937007874015748" right="0.3937007874015748" top="0.5905511811023623" bottom="0.5905511811023623" header="0.5118110236220472" footer="0.3937007874015748"/>
  <pageSetup fitToHeight="1" fitToWidth="1" horizontalDpi="1200" verticalDpi="1200" orientation="landscape" paperSize="9" scale="71" r:id="rId2"/>
  <headerFooter alignWithMargins="0">
    <oddFooter>&amp;C&amp;20-6-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showZeros="0" zoomScale="55" zoomScaleNormal="55" zoomScaleSheetLayoutView="85" workbookViewId="0" topLeftCell="A1">
      <selection activeCell="Q43" sqref="Q43"/>
    </sheetView>
  </sheetViews>
  <sheetFormatPr defaultColWidth="9.140625" defaultRowHeight="12.75"/>
  <cols>
    <col min="1" max="1" width="14.421875" style="0" customWidth="1"/>
    <col min="4" max="9" width="10.7109375" style="0" customWidth="1"/>
    <col min="10" max="10" width="11.421875" style="0" customWidth="1"/>
    <col min="11" max="16" width="10.7109375" style="0" customWidth="1"/>
    <col min="17" max="18" width="11.421875" style="0" customWidth="1"/>
    <col min="19" max="19" width="6.00390625" style="0" customWidth="1"/>
  </cols>
  <sheetData>
    <row r="1" spans="1:16" ht="27.75" customHeight="1">
      <c r="A1" s="13" t="s">
        <v>37</v>
      </c>
      <c r="B1" s="10" t="s">
        <v>93</v>
      </c>
      <c r="C1" s="1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8" ht="18" customHeight="1" thickBot="1">
      <c r="A2" s="15" t="s">
        <v>4</v>
      </c>
      <c r="B2" s="1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8">
        <f>'総合計'!Q2</f>
        <v>40616</v>
      </c>
    </row>
    <row r="3" spans="1:19" ht="24" customHeight="1" thickBot="1">
      <c r="A3" s="28" t="s">
        <v>36</v>
      </c>
      <c r="B3" s="29"/>
      <c r="C3" s="29"/>
      <c r="D3" s="21" t="s">
        <v>16</v>
      </c>
      <c r="E3" s="23" t="s">
        <v>17</v>
      </c>
      <c r="F3" s="23" t="s">
        <v>18</v>
      </c>
      <c r="G3" s="23" t="s">
        <v>19</v>
      </c>
      <c r="H3" s="23" t="s">
        <v>20</v>
      </c>
      <c r="I3" s="24" t="s">
        <v>21</v>
      </c>
      <c r="J3" s="25" t="s">
        <v>22</v>
      </c>
      <c r="K3" s="24" t="s">
        <v>23</v>
      </c>
      <c r="L3" s="23" t="s">
        <v>24</v>
      </c>
      <c r="M3" s="23" t="s">
        <v>25</v>
      </c>
      <c r="N3" s="23" t="s">
        <v>26</v>
      </c>
      <c r="O3" s="23" t="s">
        <v>27</v>
      </c>
      <c r="P3" s="24" t="s">
        <v>28</v>
      </c>
      <c r="Q3" s="25" t="s">
        <v>29</v>
      </c>
      <c r="R3" s="26" t="s">
        <v>30</v>
      </c>
      <c r="S3" s="5"/>
    </row>
    <row r="4" spans="1:19" s="17" customFormat="1" ht="16.5" customHeight="1">
      <c r="A4" s="121" t="s">
        <v>41</v>
      </c>
      <c r="B4" s="30" t="s">
        <v>9</v>
      </c>
      <c r="C4" s="33" t="s">
        <v>1</v>
      </c>
      <c r="D4" s="55">
        <f>'B一般'!D4+'B原料'!D4</f>
        <v>30288</v>
      </c>
      <c r="E4" s="51">
        <f>'B一般'!E4+'B原料'!E4</f>
        <v>63475</v>
      </c>
      <c r="F4" s="51">
        <f>'B一般'!F4+'B原料'!F4</f>
        <v>131387</v>
      </c>
      <c r="G4" s="51">
        <f>'B一般'!G4+'B原料'!G4</f>
        <v>12596</v>
      </c>
      <c r="H4" s="51">
        <f>'B一般'!H4+'B原料'!H4</f>
        <v>70747</v>
      </c>
      <c r="I4" s="60">
        <f>'B一般'!I4+'B原料'!I4</f>
        <v>58848</v>
      </c>
      <c r="J4" s="73">
        <f>'B一般'!J4+'B原料'!J4</f>
        <v>367341</v>
      </c>
      <c r="K4" s="64">
        <f>'B一般'!K4+'B原料'!K4</f>
        <v>53567</v>
      </c>
      <c r="L4" s="51">
        <f>'B一般'!L4+'B原料'!L4</f>
        <v>17310</v>
      </c>
      <c r="M4" s="51">
        <f>'B一般'!M4+'B原料'!M4</f>
        <v>24449</v>
      </c>
      <c r="N4" s="51">
        <f>'B一般'!N4+'B原料'!N4</f>
        <v>36487</v>
      </c>
      <c r="O4" s="51">
        <f>'B一般'!O4+'B原料'!O4</f>
        <v>13486</v>
      </c>
      <c r="P4" s="60">
        <f>'B一般'!P4+'B原料'!P4</f>
        <v>29432</v>
      </c>
      <c r="Q4" s="73">
        <f>'B一般'!Q4+'B原料'!Q4</f>
        <v>174731</v>
      </c>
      <c r="R4" s="64">
        <f>'B一般'!R4+'B原料'!R4</f>
        <v>542072</v>
      </c>
      <c r="S4" s="16"/>
    </row>
    <row r="5" spans="1:19" s="17" customFormat="1" ht="16.5" customHeight="1">
      <c r="A5" s="122"/>
      <c r="B5" s="30" t="s">
        <v>10</v>
      </c>
      <c r="C5" s="34" t="s">
        <v>2</v>
      </c>
      <c r="D5" s="56">
        <f>'B一般'!D5+'B原料'!D5</f>
        <v>1304838</v>
      </c>
      <c r="E5" s="51">
        <f>'B一般'!E5+'B原料'!E5</f>
        <v>2673575</v>
      </c>
      <c r="F5" s="51">
        <f>'B一般'!F5+'B原料'!F5</f>
        <v>5931594</v>
      </c>
      <c r="G5" s="51">
        <f>'B一般'!G5+'B原料'!G5</f>
        <v>620622</v>
      </c>
      <c r="H5" s="51">
        <f>'B一般'!H5+'B原料'!H5</f>
        <v>3798312</v>
      </c>
      <c r="I5" s="60">
        <f>'B一般'!I5+'B原料'!I5</f>
        <v>3359809</v>
      </c>
      <c r="J5" s="68">
        <f>'B一般'!J5+'B原料'!J5</f>
        <v>17688750</v>
      </c>
      <c r="K5" s="64">
        <f>'B一般'!K5+'B原料'!K5</f>
        <v>2864510</v>
      </c>
      <c r="L5" s="51">
        <f>'B一般'!L5+'B原料'!L5</f>
        <v>992584</v>
      </c>
      <c r="M5" s="51">
        <f>'B一般'!M5+'B原料'!M5</f>
        <v>1528961</v>
      </c>
      <c r="N5" s="51">
        <f>'B一般'!N5+'B原料'!N5</f>
        <v>2478892</v>
      </c>
      <c r="O5" s="51">
        <f>'B一般'!O5+'B原料'!O5</f>
        <v>894997</v>
      </c>
      <c r="P5" s="60">
        <f>'B一般'!P5+'B原料'!P5</f>
        <v>1927546</v>
      </c>
      <c r="Q5" s="68">
        <f>'B一般'!Q5+'B原料'!Q5</f>
        <v>10687490</v>
      </c>
      <c r="R5" s="64">
        <f>'B一般'!R5+'B原料'!R5</f>
        <v>28376240</v>
      </c>
      <c r="S5" s="16"/>
    </row>
    <row r="6" spans="1:19" s="17" customFormat="1" ht="16.5" customHeight="1" thickBot="1">
      <c r="A6" s="123"/>
      <c r="B6" s="18" t="s">
        <v>42</v>
      </c>
      <c r="C6" s="35" t="s">
        <v>3</v>
      </c>
      <c r="D6" s="57">
        <f>IF(D4=0,,D5/D4*1000)</f>
        <v>43081.02218700475</v>
      </c>
      <c r="E6" s="52">
        <f>IF(E4=0,,E5/E4*1000)</f>
        <v>42120.1260338716</v>
      </c>
      <c r="F6" s="52">
        <f>IF(F4=0,,F5/F4*1000)</f>
        <v>45145.973345917024</v>
      </c>
      <c r="G6" s="52">
        <f aca="true" t="shared" si="0" ref="G6:R6">IF(G4=0,,G5/G4*1000)</f>
        <v>49271.35598602731</v>
      </c>
      <c r="H6" s="52">
        <f t="shared" si="0"/>
        <v>53688.665243755924</v>
      </c>
      <c r="I6" s="61">
        <f t="shared" si="0"/>
        <v>57093.00231103861</v>
      </c>
      <c r="J6" s="69">
        <f t="shared" si="0"/>
        <v>48153.48681470351</v>
      </c>
      <c r="K6" s="65">
        <f t="shared" si="0"/>
        <v>53475.27395598036</v>
      </c>
      <c r="L6" s="52">
        <f t="shared" si="0"/>
        <v>57341.652224147896</v>
      </c>
      <c r="M6" s="52">
        <f t="shared" si="0"/>
        <v>62536.7499693239</v>
      </c>
      <c r="N6" s="52">
        <f t="shared" si="0"/>
        <v>67939.046783786</v>
      </c>
      <c r="O6" s="52">
        <f t="shared" si="0"/>
        <v>66364.89693014979</v>
      </c>
      <c r="P6" s="61">
        <f t="shared" si="0"/>
        <v>65491.50584397934</v>
      </c>
      <c r="Q6" s="69">
        <f t="shared" si="0"/>
        <v>61165.39137302482</v>
      </c>
      <c r="R6" s="65">
        <f t="shared" si="0"/>
        <v>52347.732404551425</v>
      </c>
      <c r="S6" s="46"/>
    </row>
    <row r="7" spans="1:19" s="17" customFormat="1" ht="16.5" customHeight="1">
      <c r="A7" s="121" t="s">
        <v>43</v>
      </c>
      <c r="B7" s="30" t="s">
        <v>9</v>
      </c>
      <c r="C7" s="34" t="s">
        <v>1</v>
      </c>
      <c r="D7" s="56">
        <f>'B一般'!D7+'B原料'!D7</f>
        <v>43873</v>
      </c>
      <c r="E7" s="51">
        <f>'B一般'!E7+'B原料'!E7</f>
        <v>34910</v>
      </c>
      <c r="F7" s="51">
        <f>'B一般'!F7+'B原料'!F7</f>
        <v>24515</v>
      </c>
      <c r="G7" s="51">
        <f>'B一般'!G7+'B原料'!G7</f>
        <v>11967</v>
      </c>
      <c r="H7" s="51">
        <f>'B一般'!H7+'B原料'!H7</f>
        <v>55855</v>
      </c>
      <c r="I7" s="60">
        <f>'B一般'!I7+'B原料'!I7</f>
        <v>33496</v>
      </c>
      <c r="J7" s="68">
        <f>'B一般'!J7+'B原料'!J7</f>
        <v>204616</v>
      </c>
      <c r="K7" s="64">
        <f>'B一般'!K7+'B原料'!K7</f>
        <v>18211</v>
      </c>
      <c r="L7" s="51">
        <f>'B一般'!L7+'B原料'!L7</f>
        <v>27665</v>
      </c>
      <c r="M7" s="51">
        <f>'B一般'!M7+'B原料'!M7</f>
        <v>42953</v>
      </c>
      <c r="N7" s="51">
        <f>'B一般'!N7+'B原料'!N7</f>
        <v>11250</v>
      </c>
      <c r="O7" s="51">
        <f>'B一般'!O7+'B原料'!O7</f>
        <v>11958</v>
      </c>
      <c r="P7" s="60">
        <f>'B一般'!P7+'B原料'!P7</f>
        <v>10982</v>
      </c>
      <c r="Q7" s="68">
        <f>'B一般'!Q7+'B原料'!Q7</f>
        <v>123019</v>
      </c>
      <c r="R7" s="64">
        <f>'B一般'!R7+'B原料'!R7</f>
        <v>327635</v>
      </c>
      <c r="S7" s="16"/>
    </row>
    <row r="8" spans="1:19" s="17" customFormat="1" ht="16.5" customHeight="1">
      <c r="A8" s="122"/>
      <c r="B8" s="30" t="s">
        <v>10</v>
      </c>
      <c r="C8" s="34" t="s">
        <v>2</v>
      </c>
      <c r="D8" s="56">
        <f>'B一般'!D8+'B原料'!D8</f>
        <v>1995820</v>
      </c>
      <c r="E8" s="51">
        <f>'B一般'!E8+'B原料'!E8</f>
        <v>1471105</v>
      </c>
      <c r="F8" s="51">
        <f>'B一般'!F8+'B原料'!F8</f>
        <v>1036904</v>
      </c>
      <c r="G8" s="51">
        <f>'B一般'!G8+'B原料'!G8</f>
        <v>646942</v>
      </c>
      <c r="H8" s="51">
        <f>'B一般'!H8+'B原料'!H8</f>
        <v>3060966</v>
      </c>
      <c r="I8" s="60">
        <f>'B一般'!I8+'B原料'!I8</f>
        <v>1856650</v>
      </c>
      <c r="J8" s="68">
        <f>'B一般'!J8+'B原料'!J8</f>
        <v>10068387</v>
      </c>
      <c r="K8" s="64">
        <f>'B一般'!K8+'B原料'!K8</f>
        <v>1015659</v>
      </c>
      <c r="L8" s="51">
        <f>'B一般'!L8+'B原料'!L8</f>
        <v>1514651</v>
      </c>
      <c r="M8" s="51">
        <f>'B一般'!M8+'B原料'!M8</f>
        <v>2621757</v>
      </c>
      <c r="N8" s="51">
        <f>'B一般'!N8+'B原料'!N8</f>
        <v>780720</v>
      </c>
      <c r="O8" s="51">
        <f>'B一般'!O8+'B原料'!O8</f>
        <v>708259</v>
      </c>
      <c r="P8" s="60">
        <f>'B一般'!P8+'B原料'!P8</f>
        <v>758358</v>
      </c>
      <c r="Q8" s="68">
        <f>'B一般'!Q8+'B原料'!Q8</f>
        <v>7399404</v>
      </c>
      <c r="R8" s="64">
        <f>'B一般'!R8+'B原料'!R8</f>
        <v>17467791</v>
      </c>
      <c r="S8" s="16"/>
    </row>
    <row r="9" spans="1:19" s="17" customFormat="1" ht="16.5" customHeight="1" thickBot="1">
      <c r="A9" s="123"/>
      <c r="B9" s="18" t="s">
        <v>42</v>
      </c>
      <c r="C9" s="35" t="s">
        <v>3</v>
      </c>
      <c r="D9" s="57">
        <f>IF(D7=0,,D8/D7*1000)</f>
        <v>45490.84858569052</v>
      </c>
      <c r="E9" s="52">
        <f>IF(E7=0,,E8/E7*1000)</f>
        <v>42139.931251790316</v>
      </c>
      <c r="F9" s="52">
        <f>IF(F7=0,,F8/F7*1000)</f>
        <v>42296.71629614522</v>
      </c>
      <c r="G9" s="52">
        <f aca="true" t="shared" si="1" ref="G9:R9">IF(G7=0,,G8/G7*1000)</f>
        <v>54060.49970752904</v>
      </c>
      <c r="H9" s="52">
        <f t="shared" si="1"/>
        <v>54802.005192015036</v>
      </c>
      <c r="I9" s="61">
        <f t="shared" si="1"/>
        <v>55429.00644853117</v>
      </c>
      <c r="J9" s="69">
        <f t="shared" si="1"/>
        <v>49206.254642843174</v>
      </c>
      <c r="K9" s="65">
        <f t="shared" si="1"/>
        <v>55771.731371149304</v>
      </c>
      <c r="L9" s="52">
        <f t="shared" si="1"/>
        <v>54749.71986264233</v>
      </c>
      <c r="M9" s="52">
        <f t="shared" si="1"/>
        <v>61037.80876772286</v>
      </c>
      <c r="N9" s="52">
        <f t="shared" si="1"/>
        <v>69397.33333333334</v>
      </c>
      <c r="O9" s="52">
        <f t="shared" si="1"/>
        <v>59228.88442883426</v>
      </c>
      <c r="P9" s="61">
        <f t="shared" si="1"/>
        <v>69054.63485703879</v>
      </c>
      <c r="Q9" s="69">
        <f t="shared" si="1"/>
        <v>60148.46487128005</v>
      </c>
      <c r="R9" s="65">
        <f t="shared" si="1"/>
        <v>53314.789323484976</v>
      </c>
      <c r="S9" s="16"/>
    </row>
    <row r="10" spans="1:19" s="17" customFormat="1" ht="16.5" customHeight="1">
      <c r="A10" s="121" t="s">
        <v>44</v>
      </c>
      <c r="B10" s="30" t="s">
        <v>9</v>
      </c>
      <c r="C10" s="34" t="s">
        <v>1</v>
      </c>
      <c r="D10" s="56">
        <f>'B一般'!D10+'B原料'!D10</f>
        <v>0</v>
      </c>
      <c r="E10" s="51">
        <f>'B一般'!E10+'B原料'!E10</f>
        <v>0</v>
      </c>
      <c r="F10" s="51">
        <f>'B一般'!F10+'B原料'!F10</f>
        <v>10438</v>
      </c>
      <c r="G10" s="51">
        <f>'B一般'!G10+'B原料'!G10</f>
        <v>0</v>
      </c>
      <c r="H10" s="51">
        <f>'B一般'!H10+'B原料'!H10</f>
        <v>0</v>
      </c>
      <c r="I10" s="60">
        <f>'B一般'!I10+'B原料'!I10</f>
        <v>0</v>
      </c>
      <c r="J10" s="68">
        <f>'B一般'!J10+'B原料'!J10</f>
        <v>10438</v>
      </c>
      <c r="K10" s="64">
        <f>'B一般'!K10+'B原料'!K10</f>
        <v>12020</v>
      </c>
      <c r="L10" s="51">
        <f>'B一般'!L10+'B原料'!L10</f>
        <v>11953</v>
      </c>
      <c r="M10" s="51">
        <f>'B一般'!M10+'B原料'!M10</f>
        <v>21496</v>
      </c>
      <c r="N10" s="51">
        <f>'B一般'!N10+'B原料'!N10</f>
        <v>10712</v>
      </c>
      <c r="O10" s="51">
        <f>'B一般'!O10+'B原料'!O10</f>
        <v>11626</v>
      </c>
      <c r="P10" s="60">
        <f>'B一般'!P10+'B原料'!P10</f>
        <v>11559</v>
      </c>
      <c r="Q10" s="68">
        <f>'B一般'!Q10+'B原料'!Q10</f>
        <v>79366</v>
      </c>
      <c r="R10" s="64">
        <f>'B一般'!R10+'B原料'!R10</f>
        <v>89804</v>
      </c>
      <c r="S10" s="16"/>
    </row>
    <row r="11" spans="1:19" s="17" customFormat="1" ht="16.5" customHeight="1">
      <c r="A11" s="122"/>
      <c r="B11" s="30" t="s">
        <v>10</v>
      </c>
      <c r="C11" s="34" t="s">
        <v>2</v>
      </c>
      <c r="D11" s="58">
        <f>'B一般'!D11+'B原料'!D11</f>
        <v>0</v>
      </c>
      <c r="E11" s="53">
        <f>'B一般'!E11+'B原料'!E11</f>
        <v>0</v>
      </c>
      <c r="F11" s="53">
        <f>'B一般'!F11+'B原料'!F11</f>
        <v>436013</v>
      </c>
      <c r="G11" s="53">
        <f>'B一般'!G11+'B原料'!G11</f>
        <v>0</v>
      </c>
      <c r="H11" s="53">
        <f>'B一般'!H11+'B原料'!H11</f>
        <v>0</v>
      </c>
      <c r="I11" s="62">
        <f>'B一般'!I11+'B原料'!I11</f>
        <v>0</v>
      </c>
      <c r="J11" s="70">
        <f>'B一般'!J11+'B原料'!J11</f>
        <v>436013</v>
      </c>
      <c r="K11" s="66">
        <f>'B一般'!K11+'B原料'!K11</f>
        <v>771211</v>
      </c>
      <c r="L11" s="53">
        <f>'B一般'!L11+'B原料'!L11</f>
        <v>733955</v>
      </c>
      <c r="M11" s="53">
        <f>'B一般'!M11+'B原料'!M11</f>
        <v>1373445</v>
      </c>
      <c r="N11" s="53">
        <f>'B一般'!N11+'B原料'!N11</f>
        <v>658287</v>
      </c>
      <c r="O11" s="53">
        <f>'B一般'!O11+'B原料'!O11</f>
        <v>705736</v>
      </c>
      <c r="P11" s="62">
        <f>'B一般'!P11+'B原料'!P11</f>
        <v>811497</v>
      </c>
      <c r="Q11" s="70">
        <f>'B一般'!Q11+'B原料'!Q11</f>
        <v>5054131</v>
      </c>
      <c r="R11" s="66">
        <f>'B一般'!R11+'B原料'!R11</f>
        <v>5490144</v>
      </c>
      <c r="S11" s="16"/>
    </row>
    <row r="12" spans="1:19" s="17" customFormat="1" ht="16.5" customHeight="1" thickBot="1">
      <c r="A12" s="123"/>
      <c r="B12" s="18" t="s">
        <v>42</v>
      </c>
      <c r="C12" s="35" t="s">
        <v>3</v>
      </c>
      <c r="D12" s="57">
        <f>IF(D10=0,,D11/D10*1000)</f>
        <v>0</v>
      </c>
      <c r="E12" s="52">
        <f>IF(E10=0,,E11/E10*1000)</f>
        <v>0</v>
      </c>
      <c r="F12" s="52">
        <f>IF(F10=0,,F11/F10*1000)</f>
        <v>41771.69955930255</v>
      </c>
      <c r="G12" s="52">
        <f aca="true" t="shared" si="2" ref="G12:R12">IF(G10=0,,G11/G10*1000)</f>
        <v>0</v>
      </c>
      <c r="H12" s="52">
        <f t="shared" si="2"/>
        <v>0</v>
      </c>
      <c r="I12" s="61">
        <f t="shared" si="2"/>
        <v>0</v>
      </c>
      <c r="J12" s="69">
        <f t="shared" si="2"/>
        <v>41771.69955930255</v>
      </c>
      <c r="K12" s="65">
        <f t="shared" si="2"/>
        <v>64160.64891846922</v>
      </c>
      <c r="L12" s="52">
        <f t="shared" si="2"/>
        <v>61403.4133690287</v>
      </c>
      <c r="M12" s="52">
        <f t="shared" si="2"/>
        <v>63893.049869743205</v>
      </c>
      <c r="N12" s="52">
        <f t="shared" si="2"/>
        <v>61453.23002240478</v>
      </c>
      <c r="O12" s="52">
        <f t="shared" si="2"/>
        <v>60703.25133321864</v>
      </c>
      <c r="P12" s="61">
        <f t="shared" si="2"/>
        <v>70204.7754996107</v>
      </c>
      <c r="Q12" s="69">
        <f t="shared" si="2"/>
        <v>63681.311896782</v>
      </c>
      <c r="R12" s="65">
        <f t="shared" si="2"/>
        <v>61134.73787359137</v>
      </c>
      <c r="S12" s="46"/>
    </row>
    <row r="13" spans="1:19" s="17" customFormat="1" ht="16.5" customHeight="1">
      <c r="A13" s="121" t="s">
        <v>94</v>
      </c>
      <c r="B13" s="30" t="s">
        <v>9</v>
      </c>
      <c r="C13" s="34" t="s">
        <v>1</v>
      </c>
      <c r="D13" s="56">
        <f>'B一般'!D13+'B原料'!D13</f>
        <v>10319</v>
      </c>
      <c r="E13" s="51">
        <f>'B一般'!E13+'B原料'!E13</f>
        <v>0</v>
      </c>
      <c r="F13" s="51">
        <f>'B一般'!F13+'B原料'!F13</f>
        <v>0</v>
      </c>
      <c r="G13" s="51">
        <f>'B一般'!G13+'B原料'!G13</f>
        <v>0</v>
      </c>
      <c r="H13" s="51">
        <f>'B一般'!H13+'B原料'!H13</f>
        <v>0</v>
      </c>
      <c r="I13" s="60">
        <f>'B一般'!I13+'B原料'!I13</f>
        <v>0</v>
      </c>
      <c r="J13" s="68">
        <f>'B一般'!J13+'B原料'!J13</f>
        <v>10319</v>
      </c>
      <c r="K13" s="64">
        <f>'B一般'!K13+'B原料'!K13</f>
        <v>0</v>
      </c>
      <c r="L13" s="51">
        <f>'B一般'!L13+'B原料'!L13</f>
        <v>10000</v>
      </c>
      <c r="M13" s="51">
        <f>'B一般'!M13+'B原料'!M13</f>
        <v>6420</v>
      </c>
      <c r="N13" s="51">
        <f>'B一般'!N13+'B原料'!N13</f>
        <v>12798</v>
      </c>
      <c r="O13" s="51">
        <f>'B一般'!O13+'B原料'!O13</f>
        <v>0</v>
      </c>
      <c r="P13" s="60">
        <f>'B一般'!P13+'B原料'!P13</f>
        <v>0</v>
      </c>
      <c r="Q13" s="68">
        <f>'B一般'!Q13+'B原料'!Q13</f>
        <v>29218</v>
      </c>
      <c r="R13" s="64">
        <f>'B一般'!R13+'B原料'!R13</f>
        <v>39537</v>
      </c>
      <c r="S13" s="16"/>
    </row>
    <row r="14" spans="1:19" s="17" customFormat="1" ht="16.5" customHeight="1">
      <c r="A14" s="122"/>
      <c r="B14" s="30" t="s">
        <v>10</v>
      </c>
      <c r="C14" s="34" t="s">
        <v>2</v>
      </c>
      <c r="D14" s="58">
        <f>'B一般'!D14+'B原料'!D14</f>
        <v>462163</v>
      </c>
      <c r="E14" s="53">
        <f>'B一般'!E14+'B原料'!E14</f>
        <v>0</v>
      </c>
      <c r="F14" s="53">
        <f>'B一般'!F14+'B原料'!F14</f>
        <v>0</v>
      </c>
      <c r="G14" s="53">
        <f>'B一般'!G14+'B原料'!G14</f>
        <v>0</v>
      </c>
      <c r="H14" s="53">
        <f>'B一般'!H14+'B原料'!H14</f>
        <v>0</v>
      </c>
      <c r="I14" s="62">
        <f>'B一般'!I14+'B原料'!I14</f>
        <v>0</v>
      </c>
      <c r="J14" s="70">
        <f>'B一般'!J14+'B原料'!J14</f>
        <v>462163</v>
      </c>
      <c r="K14" s="66">
        <f>'B一般'!K14+'B原料'!K14</f>
        <v>0</v>
      </c>
      <c r="L14" s="53">
        <f>'B一般'!L14+'B原料'!L14</f>
        <v>649242</v>
      </c>
      <c r="M14" s="53">
        <f>'B一般'!M14+'B原料'!M14</f>
        <v>406579</v>
      </c>
      <c r="N14" s="53">
        <f>'B一般'!N14+'B原料'!N14</f>
        <v>888587</v>
      </c>
      <c r="O14" s="53">
        <f>'B一般'!O14+'B原料'!O14</f>
        <v>0</v>
      </c>
      <c r="P14" s="62">
        <f>'B一般'!P14+'B原料'!P14</f>
        <v>0</v>
      </c>
      <c r="Q14" s="70">
        <f>'B一般'!Q14+'B原料'!Q14</f>
        <v>1944408</v>
      </c>
      <c r="R14" s="66">
        <f>'B一般'!R14+'B原料'!R14</f>
        <v>2406571</v>
      </c>
      <c r="S14" s="16"/>
    </row>
    <row r="15" spans="1:19" s="17" customFormat="1" ht="16.5" customHeight="1" thickBot="1">
      <c r="A15" s="123"/>
      <c r="B15" s="18" t="s">
        <v>42</v>
      </c>
      <c r="C15" s="35" t="s">
        <v>3</v>
      </c>
      <c r="D15" s="57">
        <f>IF(D13=0,,D14/D13*1000)</f>
        <v>44787.576315534454</v>
      </c>
      <c r="E15" s="52">
        <f>IF(E13=0,,E14/E13*1000)</f>
        <v>0</v>
      </c>
      <c r="F15" s="52">
        <f>IF(F13=0,,F14/F13*1000)</f>
        <v>0</v>
      </c>
      <c r="G15" s="52">
        <f aca="true" t="shared" si="3" ref="G15:R15">IF(G13=0,,G14/G13*1000)</f>
        <v>0</v>
      </c>
      <c r="H15" s="52">
        <f t="shared" si="3"/>
        <v>0</v>
      </c>
      <c r="I15" s="61">
        <f t="shared" si="3"/>
        <v>0</v>
      </c>
      <c r="J15" s="69">
        <f t="shared" si="3"/>
        <v>44787.576315534454</v>
      </c>
      <c r="K15" s="65">
        <f t="shared" si="3"/>
        <v>0</v>
      </c>
      <c r="L15" s="52">
        <f t="shared" si="3"/>
        <v>64924.2</v>
      </c>
      <c r="M15" s="52">
        <f t="shared" si="3"/>
        <v>63330.062305295956</v>
      </c>
      <c r="N15" s="52">
        <f t="shared" si="3"/>
        <v>69431.7080793874</v>
      </c>
      <c r="O15" s="52">
        <f t="shared" si="3"/>
        <v>0</v>
      </c>
      <c r="P15" s="61">
        <f t="shared" si="3"/>
        <v>0</v>
      </c>
      <c r="Q15" s="69">
        <f t="shared" si="3"/>
        <v>66548.29214867548</v>
      </c>
      <c r="R15" s="65">
        <f t="shared" si="3"/>
        <v>60868.83172724283</v>
      </c>
      <c r="S15" s="46"/>
    </row>
    <row r="16" spans="1:19" s="17" customFormat="1" ht="16.5" customHeight="1">
      <c r="A16" s="121" t="s">
        <v>96</v>
      </c>
      <c r="B16" s="30" t="s">
        <v>9</v>
      </c>
      <c r="C16" s="34" t="s">
        <v>1</v>
      </c>
      <c r="D16" s="56">
        <f>'B一般'!D16+'B原料'!D16</f>
        <v>55863</v>
      </c>
      <c r="E16" s="51">
        <f>'B一般'!E16+'B原料'!E16</f>
        <v>77952</v>
      </c>
      <c r="F16" s="51">
        <f>'B一般'!F16+'B原料'!F16</f>
        <v>72501</v>
      </c>
      <c r="G16" s="51">
        <f>'B一般'!G16+'B原料'!G16</f>
        <v>46942</v>
      </c>
      <c r="H16" s="51">
        <f>'B一般'!H16+'B原料'!H16</f>
        <v>47912</v>
      </c>
      <c r="I16" s="60">
        <f>'B一般'!I16+'B原料'!I16</f>
        <v>87746</v>
      </c>
      <c r="J16" s="68">
        <f>'B一般'!J16+'B原料'!J16</f>
        <v>388916</v>
      </c>
      <c r="K16" s="64">
        <f>'B一般'!K16+'B原料'!K16</f>
        <v>58672</v>
      </c>
      <c r="L16" s="51">
        <f>'B一般'!L16+'B原料'!L16</f>
        <v>84629</v>
      </c>
      <c r="M16" s="51">
        <f>'B一般'!M16+'B原料'!M16</f>
        <v>48020</v>
      </c>
      <c r="N16" s="51">
        <f>'B一般'!N16+'B原料'!N16</f>
        <v>36040</v>
      </c>
      <c r="O16" s="51">
        <f>'B一般'!O16+'B原料'!O16</f>
        <v>34414</v>
      </c>
      <c r="P16" s="60">
        <f>'B一般'!P16+'B原料'!P16</f>
        <v>90738</v>
      </c>
      <c r="Q16" s="68">
        <f>'B一般'!Q16+'B原料'!Q16</f>
        <v>352513</v>
      </c>
      <c r="R16" s="64">
        <f>'B一般'!R16+'B原料'!R16</f>
        <v>741429</v>
      </c>
      <c r="S16" s="16"/>
    </row>
    <row r="17" spans="1:19" s="17" customFormat="1" ht="16.5" customHeight="1">
      <c r="A17" s="122"/>
      <c r="B17" s="30" t="s">
        <v>10</v>
      </c>
      <c r="C17" s="34" t="s">
        <v>2</v>
      </c>
      <c r="D17" s="56">
        <f>'B一般'!D17+'B原料'!D17</f>
        <v>2489999</v>
      </c>
      <c r="E17" s="51">
        <f>'B一般'!E17+'B原料'!E17</f>
        <v>3263711</v>
      </c>
      <c r="F17" s="51">
        <f>'B一般'!F17+'B原料'!F17</f>
        <v>3364681</v>
      </c>
      <c r="G17" s="51">
        <f>'B一般'!G17+'B原料'!G17</f>
        <v>2532311</v>
      </c>
      <c r="H17" s="51">
        <f>'B一般'!H17+'B原料'!H17</f>
        <v>2745217</v>
      </c>
      <c r="I17" s="60">
        <f>'B一般'!I17+'B原料'!I17</f>
        <v>4853623</v>
      </c>
      <c r="J17" s="68">
        <f>'B一般'!J17+'B原料'!J17</f>
        <v>19249542</v>
      </c>
      <c r="K17" s="64">
        <f>'B一般'!K17+'B原料'!K17</f>
        <v>3178589</v>
      </c>
      <c r="L17" s="51">
        <f>'B一般'!L17+'B原料'!L17</f>
        <v>5156092</v>
      </c>
      <c r="M17" s="51">
        <f>'B一般'!M17+'B原料'!M17</f>
        <v>2805708</v>
      </c>
      <c r="N17" s="51">
        <f>'B一般'!N17+'B原料'!N17</f>
        <v>2445799</v>
      </c>
      <c r="O17" s="51">
        <f>'B一般'!O17+'B原料'!O17</f>
        <v>2194830</v>
      </c>
      <c r="P17" s="60">
        <f>'B一般'!P17+'B原料'!P17</f>
        <v>5731300</v>
      </c>
      <c r="Q17" s="68">
        <f>'B一般'!Q17+'B原料'!Q17</f>
        <v>21512318</v>
      </c>
      <c r="R17" s="64">
        <f>'B一般'!R17+'B原料'!R17</f>
        <v>40761860</v>
      </c>
      <c r="S17" s="16"/>
    </row>
    <row r="18" spans="1:19" s="17" customFormat="1" ht="16.5" customHeight="1" thickBot="1">
      <c r="A18" s="123"/>
      <c r="B18" s="18" t="s">
        <v>42</v>
      </c>
      <c r="C18" s="35" t="s">
        <v>3</v>
      </c>
      <c r="D18" s="57">
        <f>IF(D16=0,,D17/D16*1000)</f>
        <v>44573.31328428476</v>
      </c>
      <c r="E18" s="52">
        <f>IF(E16=0,,E17/E16*1000)</f>
        <v>41868.213772578</v>
      </c>
      <c r="F18" s="52">
        <f>IF(F16=0,,F17/F16*1000)</f>
        <v>46408.75298271748</v>
      </c>
      <c r="G18" s="52">
        <f aca="true" t="shared" si="4" ref="G18:R18">IF(G16=0,,G17/G16*1000)</f>
        <v>53945.52852456223</v>
      </c>
      <c r="H18" s="52">
        <f t="shared" si="4"/>
        <v>57297.06545333111</v>
      </c>
      <c r="I18" s="61">
        <f t="shared" si="4"/>
        <v>55314.46447701319</v>
      </c>
      <c r="J18" s="69">
        <f t="shared" si="4"/>
        <v>49495.371751226485</v>
      </c>
      <c r="K18" s="65">
        <f t="shared" si="4"/>
        <v>54175.56926643032</v>
      </c>
      <c r="L18" s="52">
        <f t="shared" si="4"/>
        <v>60925.829207482064</v>
      </c>
      <c r="M18" s="52">
        <f t="shared" si="4"/>
        <v>58427.905039566846</v>
      </c>
      <c r="N18" s="52">
        <f t="shared" si="4"/>
        <v>67863.45726970033</v>
      </c>
      <c r="O18" s="52">
        <f t="shared" si="4"/>
        <v>63777.24182018946</v>
      </c>
      <c r="P18" s="61">
        <f t="shared" si="4"/>
        <v>63163.17309175868</v>
      </c>
      <c r="Q18" s="69">
        <f t="shared" si="4"/>
        <v>61025.601892696155</v>
      </c>
      <c r="R18" s="65">
        <f t="shared" si="4"/>
        <v>54977.42872210286</v>
      </c>
      <c r="S18" s="46"/>
    </row>
    <row r="19" spans="1:19" s="17" customFormat="1" ht="16.5" customHeight="1">
      <c r="A19" s="124" t="s">
        <v>50</v>
      </c>
      <c r="B19" s="30" t="s">
        <v>9</v>
      </c>
      <c r="C19" s="34" t="s">
        <v>1</v>
      </c>
      <c r="D19" s="56">
        <f>'B一般'!D19+'B原料'!D19</f>
        <v>52459</v>
      </c>
      <c r="E19" s="51">
        <f>'B一般'!E19+'B原料'!E19</f>
        <v>38609</v>
      </c>
      <c r="F19" s="51">
        <f>'B一般'!F19+'B原料'!F19</f>
        <v>98141</v>
      </c>
      <c r="G19" s="51">
        <f>'B一般'!G19+'B原料'!G19</f>
        <v>86006</v>
      </c>
      <c r="H19" s="51">
        <f>'B一般'!H19+'B原料'!H19</f>
        <v>73216</v>
      </c>
      <c r="I19" s="60">
        <f>'B一般'!I19+'B原料'!I19</f>
        <v>76554</v>
      </c>
      <c r="J19" s="68">
        <f>'B一般'!J19+'B原料'!J19</f>
        <v>424985</v>
      </c>
      <c r="K19" s="64">
        <f>'B一般'!K19+'B原料'!K19</f>
        <v>56092</v>
      </c>
      <c r="L19" s="51">
        <f>'B一般'!L19+'B原料'!L19</f>
        <v>70830</v>
      </c>
      <c r="M19" s="51">
        <f>'B一般'!M19+'B原料'!M19</f>
        <v>70919</v>
      </c>
      <c r="N19" s="51">
        <f>'B一般'!N19+'B原料'!N19</f>
        <v>86786</v>
      </c>
      <c r="O19" s="51">
        <f>'B一般'!O19+'B原料'!O19</f>
        <v>18725</v>
      </c>
      <c r="P19" s="60">
        <f>'B一般'!P19+'B原料'!P19</f>
        <v>79606</v>
      </c>
      <c r="Q19" s="68">
        <f>'B一般'!Q19+'B原料'!Q19</f>
        <v>382958</v>
      </c>
      <c r="R19" s="64">
        <f>'B一般'!R19+'B原料'!R19</f>
        <v>807943</v>
      </c>
      <c r="S19" s="16"/>
    </row>
    <row r="20" spans="1:19" s="17" customFormat="1" ht="16.5" customHeight="1">
      <c r="A20" s="125"/>
      <c r="B20" s="30" t="s">
        <v>10</v>
      </c>
      <c r="C20" s="34" t="s">
        <v>2</v>
      </c>
      <c r="D20" s="56">
        <f>'B一般'!D20+'B原料'!D20</f>
        <v>2346209</v>
      </c>
      <c r="E20" s="51">
        <f>'B一般'!E20+'B原料'!E20</f>
        <v>1704178</v>
      </c>
      <c r="F20" s="51">
        <f>'B一般'!F20+'B原料'!F20</f>
        <v>4824378</v>
      </c>
      <c r="G20" s="51">
        <f>'B一般'!G20+'B原料'!G20</f>
        <v>4047247</v>
      </c>
      <c r="H20" s="51">
        <f>'B一般'!H20+'B原料'!H20</f>
        <v>3731031</v>
      </c>
      <c r="I20" s="60">
        <f>'B一般'!I20+'B原料'!I20</f>
        <v>4067138</v>
      </c>
      <c r="J20" s="68">
        <f>'B一般'!J20+'B原料'!J20</f>
        <v>20720181</v>
      </c>
      <c r="K20" s="64">
        <f>'B一般'!K20+'B原料'!K20</f>
        <v>3058030</v>
      </c>
      <c r="L20" s="51">
        <f>'B一般'!L20+'B原料'!L20</f>
        <v>3796534</v>
      </c>
      <c r="M20" s="51">
        <f>'B一般'!M20+'B原料'!M20</f>
        <v>4013972</v>
      </c>
      <c r="N20" s="51">
        <f>'B一般'!N20+'B原料'!N20</f>
        <v>5382289</v>
      </c>
      <c r="O20" s="51">
        <f>'B一般'!O20+'B原料'!O20</f>
        <v>1194819</v>
      </c>
      <c r="P20" s="60">
        <f>'B一般'!P20+'B原料'!P20</f>
        <v>5368540</v>
      </c>
      <c r="Q20" s="68">
        <f>'B一般'!Q20+'B原料'!Q20</f>
        <v>22814184</v>
      </c>
      <c r="R20" s="64">
        <f>'B一般'!R20+'B原料'!R20</f>
        <v>43534365</v>
      </c>
      <c r="S20" s="16"/>
    </row>
    <row r="21" spans="1:19" s="17" customFormat="1" ht="16.5" customHeight="1" thickBot="1">
      <c r="A21" s="126"/>
      <c r="B21" s="18" t="s">
        <v>42</v>
      </c>
      <c r="C21" s="35" t="s">
        <v>3</v>
      </c>
      <c r="D21" s="57">
        <f>IF(D19=0,,D20/D19*1000)</f>
        <v>44724.6230389447</v>
      </c>
      <c r="E21" s="52">
        <f>IF(E19=0,,E20/E19*1000)</f>
        <v>44139.39754979409</v>
      </c>
      <c r="F21" s="52">
        <f>IF(F19=0,,F20/F19*1000)</f>
        <v>49157.62015875119</v>
      </c>
      <c r="G21" s="52">
        <f aca="true" t="shared" si="5" ref="G21:R21">IF(G19=0,,G20/G19*1000)</f>
        <v>47057.728530567634</v>
      </c>
      <c r="H21" s="52">
        <f t="shared" si="5"/>
        <v>50959.2302229021</v>
      </c>
      <c r="I21" s="61">
        <f t="shared" si="5"/>
        <v>53127.70070799697</v>
      </c>
      <c r="J21" s="69">
        <f t="shared" si="5"/>
        <v>48755.08782662917</v>
      </c>
      <c r="K21" s="65">
        <f t="shared" si="5"/>
        <v>54518.1130999073</v>
      </c>
      <c r="L21" s="52">
        <f t="shared" si="5"/>
        <v>53600.6494423267</v>
      </c>
      <c r="M21" s="52">
        <f t="shared" si="5"/>
        <v>56599.38803423624</v>
      </c>
      <c r="N21" s="52">
        <f t="shared" si="5"/>
        <v>62017.940681676766</v>
      </c>
      <c r="O21" s="52">
        <f t="shared" si="5"/>
        <v>63808.758344459275</v>
      </c>
      <c r="P21" s="61">
        <f t="shared" si="5"/>
        <v>67438.88651609176</v>
      </c>
      <c r="Q21" s="69">
        <f t="shared" si="5"/>
        <v>59573.592926639474</v>
      </c>
      <c r="R21" s="65">
        <f t="shared" si="5"/>
        <v>53882.96575377223</v>
      </c>
      <c r="S21" s="46"/>
    </row>
    <row r="22" spans="1:19" s="17" customFormat="1" ht="16.5" customHeight="1">
      <c r="A22" s="121" t="s">
        <v>46</v>
      </c>
      <c r="B22" s="30" t="s">
        <v>9</v>
      </c>
      <c r="C22" s="34" t="s">
        <v>1</v>
      </c>
      <c r="D22" s="56">
        <f>'B一般'!D22+'B原料'!D22</f>
        <v>32154</v>
      </c>
      <c r="E22" s="51">
        <f>'B一般'!E22+'B原料'!E22</f>
        <v>43595</v>
      </c>
      <c r="F22" s="51">
        <f>'B一般'!F22+'B原料'!F22</f>
        <v>9889</v>
      </c>
      <c r="G22" s="51">
        <f>'B一般'!G22+'B原料'!G22</f>
        <v>53145</v>
      </c>
      <c r="H22" s="51">
        <f>'B一般'!H22+'B原料'!H22</f>
        <v>86631</v>
      </c>
      <c r="I22" s="60">
        <f>'B一般'!I22+'B原料'!I22</f>
        <v>50473</v>
      </c>
      <c r="J22" s="68">
        <f>'B一般'!J22+'B原料'!J22</f>
        <v>275887</v>
      </c>
      <c r="K22" s="64">
        <f>'B一般'!K22+'B原料'!K22</f>
        <v>56839</v>
      </c>
      <c r="L22" s="51">
        <f>'B一般'!L22+'B原料'!L22</f>
        <v>57586</v>
      </c>
      <c r="M22" s="51">
        <f>'B一般'!M22+'B原料'!M22</f>
        <v>74937</v>
      </c>
      <c r="N22" s="51">
        <f>'B一般'!N22+'B原料'!N22</f>
        <v>50558</v>
      </c>
      <c r="O22" s="51">
        <f>'B一般'!O22+'B原料'!O22</f>
        <v>42570</v>
      </c>
      <c r="P22" s="60">
        <f>'B一般'!P22+'B原料'!P22</f>
        <v>40498</v>
      </c>
      <c r="Q22" s="68">
        <f>'B一般'!Q22+'B原料'!Q22</f>
        <v>322988</v>
      </c>
      <c r="R22" s="64">
        <f>'B一般'!R22+'B原料'!R22</f>
        <v>598875</v>
      </c>
      <c r="S22" s="16"/>
    </row>
    <row r="23" spans="1:19" s="17" customFormat="1" ht="16.5" customHeight="1">
      <c r="A23" s="122"/>
      <c r="B23" s="30" t="s">
        <v>10</v>
      </c>
      <c r="C23" s="34" t="s">
        <v>2</v>
      </c>
      <c r="D23" s="56">
        <f>'B一般'!D23+'B原料'!D23</f>
        <v>1447462</v>
      </c>
      <c r="E23" s="51">
        <f>'B一般'!E23+'B原料'!E23</f>
        <v>2035936</v>
      </c>
      <c r="F23" s="51">
        <f>'B一般'!F23+'B原料'!F23</f>
        <v>394900</v>
      </c>
      <c r="G23" s="51">
        <f>'B一般'!G23+'B原料'!G23</f>
        <v>2641975</v>
      </c>
      <c r="H23" s="51">
        <f>'B一般'!H23+'B原料'!H23</f>
        <v>4866749</v>
      </c>
      <c r="I23" s="60">
        <f>'B一般'!I23+'B原料'!I23</f>
        <v>2772394</v>
      </c>
      <c r="J23" s="68">
        <f>'B一般'!J23+'B原料'!J23</f>
        <v>14159416</v>
      </c>
      <c r="K23" s="64">
        <f>'B一般'!K23+'B原料'!K23</f>
        <v>3156280</v>
      </c>
      <c r="L23" s="51">
        <f>'B一般'!L23+'B原料'!L23</f>
        <v>3130060</v>
      </c>
      <c r="M23" s="51">
        <f>'B一般'!M23+'B原料'!M23</f>
        <v>4462988</v>
      </c>
      <c r="N23" s="51">
        <f>'B一般'!N23+'B原料'!N23</f>
        <v>3401321</v>
      </c>
      <c r="O23" s="51">
        <f>'B一般'!O23+'B原料'!O23</f>
        <v>2985404</v>
      </c>
      <c r="P23" s="60">
        <f>'B一般'!P23+'B原料'!P23</f>
        <v>2750047</v>
      </c>
      <c r="Q23" s="68">
        <f>'B一般'!Q23+'B原料'!Q23</f>
        <v>19886100</v>
      </c>
      <c r="R23" s="64">
        <f>'B一般'!R23+'B原料'!R23</f>
        <v>34045516</v>
      </c>
      <c r="S23" s="16"/>
    </row>
    <row r="24" spans="1:19" s="17" customFormat="1" ht="16.5" customHeight="1" thickBot="1">
      <c r="A24" s="123"/>
      <c r="B24" s="18" t="s">
        <v>42</v>
      </c>
      <c r="C24" s="35" t="s">
        <v>3</v>
      </c>
      <c r="D24" s="57">
        <f>IF(D22=0,,D23/D22*1000)</f>
        <v>45016.54537538098</v>
      </c>
      <c r="E24" s="52">
        <f>IF(E22=0,,E23/E22*1000)</f>
        <v>46701.135451313225</v>
      </c>
      <c r="F24" s="52">
        <f>IF(F22=0,,F23/F22*1000)</f>
        <v>39933.25917686318</v>
      </c>
      <c r="G24" s="52">
        <f aca="true" t="shared" si="6" ref="G24:R24">IF(G22=0,,G23/G22*1000)</f>
        <v>49712.57879386584</v>
      </c>
      <c r="H24" s="52">
        <f t="shared" si="6"/>
        <v>56177.91552677448</v>
      </c>
      <c r="I24" s="61">
        <f t="shared" si="6"/>
        <v>54928.25867295386</v>
      </c>
      <c r="J24" s="69">
        <f t="shared" si="6"/>
        <v>51323.244661763696</v>
      </c>
      <c r="K24" s="65">
        <f t="shared" si="6"/>
        <v>55530.18174140995</v>
      </c>
      <c r="L24" s="52">
        <f t="shared" si="6"/>
        <v>54354.53061508005</v>
      </c>
      <c r="M24" s="52">
        <f t="shared" si="6"/>
        <v>59556.53415535717</v>
      </c>
      <c r="N24" s="52">
        <f t="shared" si="6"/>
        <v>67275.6240357609</v>
      </c>
      <c r="O24" s="52">
        <f t="shared" si="6"/>
        <v>70129.29292929293</v>
      </c>
      <c r="P24" s="61">
        <f t="shared" si="6"/>
        <v>67905.74843202134</v>
      </c>
      <c r="Q24" s="69">
        <f t="shared" si="6"/>
        <v>61569.160464165856</v>
      </c>
      <c r="R24" s="65">
        <f t="shared" si="6"/>
        <v>56849.11876434983</v>
      </c>
      <c r="S24" s="46"/>
    </row>
    <row r="25" spans="1:19" s="17" customFormat="1" ht="16.5" customHeight="1">
      <c r="A25" s="121" t="s">
        <v>47</v>
      </c>
      <c r="B25" s="30" t="s">
        <v>9</v>
      </c>
      <c r="C25" s="34" t="s">
        <v>1</v>
      </c>
      <c r="D25" s="56">
        <f>'B一般'!D25+'B原料'!D25</f>
        <v>0</v>
      </c>
      <c r="E25" s="51">
        <f>'B一般'!E25+'B原料'!E25</f>
        <v>0</v>
      </c>
      <c r="F25" s="51">
        <f>'B一般'!F25+'B原料'!F25</f>
        <v>0</v>
      </c>
      <c r="G25" s="51">
        <f>'B一般'!G25+'B原料'!G25</f>
        <v>0</v>
      </c>
      <c r="H25" s="51">
        <f>'B一般'!H25+'B原料'!H25</f>
        <v>0</v>
      </c>
      <c r="I25" s="60">
        <f>'B一般'!I25+'B原料'!I25</f>
        <v>0</v>
      </c>
      <c r="J25" s="68">
        <f>'B一般'!J25+'B原料'!J25</f>
        <v>0</v>
      </c>
      <c r="K25" s="64">
        <f>'B一般'!K25+'B原料'!K25</f>
        <v>0</v>
      </c>
      <c r="L25" s="51">
        <f>'B一般'!L25+'B原料'!L25</f>
        <v>0</v>
      </c>
      <c r="M25" s="51">
        <f>'B一般'!M25+'B原料'!M25</f>
        <v>0</v>
      </c>
      <c r="N25" s="51">
        <f>'B一般'!N25+'B原料'!N25</f>
        <v>0</v>
      </c>
      <c r="O25" s="51">
        <f>'B一般'!O25+'B原料'!O25</f>
        <v>0</v>
      </c>
      <c r="P25" s="60">
        <f>'B一般'!P25+'B原料'!P25</f>
        <v>0</v>
      </c>
      <c r="Q25" s="68">
        <f>'B一般'!Q25+'B原料'!Q25</f>
        <v>0</v>
      </c>
      <c r="R25" s="64">
        <f>'B一般'!R25+'B原料'!R25</f>
        <v>0</v>
      </c>
      <c r="S25" s="16"/>
    </row>
    <row r="26" spans="1:19" s="17" customFormat="1" ht="16.5" customHeight="1">
      <c r="A26" s="122"/>
      <c r="B26" s="30" t="s">
        <v>10</v>
      </c>
      <c r="C26" s="34" t="s">
        <v>2</v>
      </c>
      <c r="D26" s="56">
        <f>'B一般'!D26+'B原料'!D26</f>
        <v>0</v>
      </c>
      <c r="E26" s="51">
        <f>'B一般'!E26+'B原料'!E26</f>
        <v>0</v>
      </c>
      <c r="F26" s="51">
        <f>'B一般'!F26+'B原料'!F26</f>
        <v>0</v>
      </c>
      <c r="G26" s="51">
        <f>'B一般'!G26+'B原料'!G26</f>
        <v>0</v>
      </c>
      <c r="H26" s="51">
        <f>'B一般'!H26+'B原料'!H26</f>
        <v>0</v>
      </c>
      <c r="I26" s="60">
        <f>'B一般'!I26+'B原料'!I26</f>
        <v>0</v>
      </c>
      <c r="J26" s="68">
        <f>'B一般'!J26+'B原料'!J26</f>
        <v>0</v>
      </c>
      <c r="K26" s="64">
        <f>'B一般'!K26+'B原料'!K26</f>
        <v>0</v>
      </c>
      <c r="L26" s="51">
        <f>'B一般'!L26+'B原料'!L26</f>
        <v>0</v>
      </c>
      <c r="M26" s="51">
        <f>'B一般'!M26+'B原料'!M26</f>
        <v>0</v>
      </c>
      <c r="N26" s="51">
        <f>'B一般'!N26+'B原料'!N26</f>
        <v>0</v>
      </c>
      <c r="O26" s="51">
        <f>'B一般'!O26+'B原料'!O26</f>
        <v>0</v>
      </c>
      <c r="P26" s="60">
        <f>'B一般'!P26+'B原料'!P26</f>
        <v>0</v>
      </c>
      <c r="Q26" s="68">
        <f>'B一般'!Q26+'B原料'!Q26</f>
        <v>0</v>
      </c>
      <c r="R26" s="64">
        <f>'B一般'!R26+'B原料'!R26</f>
        <v>0</v>
      </c>
      <c r="S26" s="16"/>
    </row>
    <row r="27" spans="1:19" s="17" customFormat="1" ht="16.5" customHeight="1" thickBot="1">
      <c r="A27" s="123"/>
      <c r="B27" s="18" t="s">
        <v>42</v>
      </c>
      <c r="C27" s="35" t="s">
        <v>3</v>
      </c>
      <c r="D27" s="57">
        <f>IF(D25=0,,D26/D25*1000)</f>
        <v>0</v>
      </c>
      <c r="E27" s="52">
        <f>IF(E25=0,,E26/E25*1000)</f>
        <v>0</v>
      </c>
      <c r="F27" s="52">
        <f>IF(F25=0,,F26/F25*1000)</f>
        <v>0</v>
      </c>
      <c r="G27" s="52">
        <f aca="true" t="shared" si="7" ref="G27:R27">IF(G25=0,,G26/G25*1000)</f>
        <v>0</v>
      </c>
      <c r="H27" s="52">
        <f t="shared" si="7"/>
        <v>0</v>
      </c>
      <c r="I27" s="61">
        <f t="shared" si="7"/>
        <v>0</v>
      </c>
      <c r="J27" s="69">
        <f t="shared" si="7"/>
        <v>0</v>
      </c>
      <c r="K27" s="65">
        <f t="shared" si="7"/>
        <v>0</v>
      </c>
      <c r="L27" s="52">
        <f t="shared" si="7"/>
        <v>0</v>
      </c>
      <c r="M27" s="52">
        <f t="shared" si="7"/>
        <v>0</v>
      </c>
      <c r="N27" s="52">
        <f t="shared" si="7"/>
        <v>0</v>
      </c>
      <c r="O27" s="52">
        <f t="shared" si="7"/>
        <v>0</v>
      </c>
      <c r="P27" s="61">
        <f t="shared" si="7"/>
        <v>0</v>
      </c>
      <c r="Q27" s="69">
        <f t="shared" si="7"/>
        <v>0</v>
      </c>
      <c r="R27" s="65">
        <f t="shared" si="7"/>
        <v>0</v>
      </c>
      <c r="S27" s="46"/>
    </row>
    <row r="28" spans="1:19" s="17" customFormat="1" ht="16.5" customHeight="1">
      <c r="A28" s="121" t="s">
        <v>11</v>
      </c>
      <c r="B28" s="30" t="s">
        <v>9</v>
      </c>
      <c r="C28" s="34" t="s">
        <v>1</v>
      </c>
      <c r="D28" s="56">
        <f>'B一般'!D28+'B原料'!D28</f>
        <v>682</v>
      </c>
      <c r="E28" s="51">
        <f>'B一般'!E28+'B原料'!E28</f>
        <v>481</v>
      </c>
      <c r="F28" s="51">
        <f>'B一般'!F28+'B原料'!F28</f>
        <v>540</v>
      </c>
      <c r="G28" s="51">
        <f>'B一般'!G28+'B原料'!G28</f>
        <v>551</v>
      </c>
      <c r="H28" s="51">
        <f>'B一般'!H28+'B原料'!H28</f>
        <v>920</v>
      </c>
      <c r="I28" s="60">
        <f>'B一般'!I28+'B原料'!I28</f>
        <v>1044</v>
      </c>
      <c r="J28" s="68">
        <f>'B一般'!J28+'B原料'!J28</f>
        <v>4218</v>
      </c>
      <c r="K28" s="64">
        <f>'B一般'!K28+'B原料'!K28</f>
        <v>1703</v>
      </c>
      <c r="L28" s="51">
        <f>'B一般'!L28+'B原料'!L28</f>
        <v>2157</v>
      </c>
      <c r="M28" s="51">
        <f>'B一般'!M28+'B原料'!M28</f>
        <v>2830</v>
      </c>
      <c r="N28" s="51">
        <f>'B一般'!N28+'B原料'!N28</f>
        <v>1115</v>
      </c>
      <c r="O28" s="51">
        <f>'B一般'!O28+'B原料'!O28</f>
        <v>708</v>
      </c>
      <c r="P28" s="60">
        <f>'B一般'!P28+'B原料'!P28</f>
        <v>711</v>
      </c>
      <c r="Q28" s="68">
        <f>'B一般'!Q28+'B原料'!Q28</f>
        <v>9224</v>
      </c>
      <c r="R28" s="64">
        <f>'B一般'!R28+'B原料'!R28</f>
        <v>13442</v>
      </c>
      <c r="S28" s="16"/>
    </row>
    <row r="29" spans="1:19" s="17" customFormat="1" ht="16.5" customHeight="1">
      <c r="A29" s="122"/>
      <c r="B29" s="30" t="s">
        <v>10</v>
      </c>
      <c r="C29" s="34" t="s">
        <v>2</v>
      </c>
      <c r="D29" s="56">
        <f>'B一般'!D29+'B原料'!D29</f>
        <v>174645</v>
      </c>
      <c r="E29" s="51">
        <f>'B一般'!E29+'B原料'!E29</f>
        <v>124223</v>
      </c>
      <c r="F29" s="51">
        <f>'B一般'!F29+'B原料'!F29</f>
        <v>140723</v>
      </c>
      <c r="G29" s="51">
        <f>'B一般'!G29+'B原料'!G29</f>
        <v>139695</v>
      </c>
      <c r="H29" s="51">
        <f>'B一般'!H29+'B原料'!H29</f>
        <v>229925</v>
      </c>
      <c r="I29" s="60">
        <f>'B一般'!I29+'B原料'!I29</f>
        <v>258581</v>
      </c>
      <c r="J29" s="68">
        <f>'B一般'!J29+'B原料'!J29</f>
        <v>1067792</v>
      </c>
      <c r="K29" s="64">
        <f>'B一般'!K29+'B原料'!K29</f>
        <v>420506</v>
      </c>
      <c r="L29" s="51">
        <f>'B一般'!L29+'B原料'!L29</f>
        <v>530963</v>
      </c>
      <c r="M29" s="51">
        <f>'B一般'!M29+'B原料'!M29</f>
        <v>689418</v>
      </c>
      <c r="N29" s="51">
        <f>'B一般'!N29+'B原料'!N29</f>
        <v>268627</v>
      </c>
      <c r="O29" s="51">
        <f>'B一般'!O29+'B原料'!O29</f>
        <v>174598</v>
      </c>
      <c r="P29" s="60">
        <f>'B一般'!P29+'B原料'!P29</f>
        <v>171815</v>
      </c>
      <c r="Q29" s="68">
        <f>'B一般'!Q29+'B原料'!Q29</f>
        <v>2255927</v>
      </c>
      <c r="R29" s="64">
        <f>'B一般'!R29+'B原料'!R29</f>
        <v>3323719</v>
      </c>
      <c r="S29" s="16"/>
    </row>
    <row r="30" spans="1:19" s="17" customFormat="1" ht="16.5" customHeight="1" thickBot="1">
      <c r="A30" s="123"/>
      <c r="B30" s="18" t="s">
        <v>42</v>
      </c>
      <c r="C30" s="35" t="s">
        <v>3</v>
      </c>
      <c r="D30" s="57">
        <f>IF(D28=0,,D29/D28*1000)</f>
        <v>256077.71260997065</v>
      </c>
      <c r="E30" s="52">
        <f>IF(E28=0,,E29/E28*1000)</f>
        <v>258259.8752598753</v>
      </c>
      <c r="F30" s="52">
        <f>IF(F28=0,,F29/F28*1000)</f>
        <v>260598.14814814815</v>
      </c>
      <c r="G30" s="52">
        <f aca="true" t="shared" si="8" ref="G30:R30">IF(G28=0,,G29/G28*1000)</f>
        <v>253529.94555353903</v>
      </c>
      <c r="H30" s="52">
        <f t="shared" si="8"/>
        <v>249918.47826086957</v>
      </c>
      <c r="I30" s="61">
        <f t="shared" si="8"/>
        <v>247682.95019157088</v>
      </c>
      <c r="J30" s="69">
        <f t="shared" si="8"/>
        <v>253151.25651967755</v>
      </c>
      <c r="K30" s="65">
        <f t="shared" si="8"/>
        <v>246920.728126835</v>
      </c>
      <c r="L30" s="52">
        <f t="shared" si="8"/>
        <v>246158.0899397311</v>
      </c>
      <c r="M30" s="52">
        <f t="shared" si="8"/>
        <v>243610.60070671377</v>
      </c>
      <c r="N30" s="52">
        <f t="shared" si="8"/>
        <v>240921.07623318388</v>
      </c>
      <c r="O30" s="52">
        <f t="shared" si="8"/>
        <v>246607.34463276836</v>
      </c>
      <c r="P30" s="61">
        <f t="shared" si="8"/>
        <v>241652.60196905766</v>
      </c>
      <c r="Q30" s="69">
        <f t="shared" si="8"/>
        <v>244571.4440589766</v>
      </c>
      <c r="R30" s="65">
        <f t="shared" si="8"/>
        <v>247263.72563606605</v>
      </c>
      <c r="S30" s="46"/>
    </row>
    <row r="31" spans="1:19" s="17" customFormat="1" ht="16.5" customHeight="1">
      <c r="A31" s="121" t="s">
        <v>48</v>
      </c>
      <c r="B31" s="30" t="s">
        <v>9</v>
      </c>
      <c r="C31" s="34" t="s">
        <v>1</v>
      </c>
      <c r="D31" s="56">
        <f>'B一般'!D31+'B原料'!D31</f>
        <v>0</v>
      </c>
      <c r="E31" s="51">
        <f>'B一般'!E31+'B原料'!E31</f>
        <v>0</v>
      </c>
      <c r="F31" s="51">
        <f>'B一般'!F31+'B原料'!F31</f>
        <v>0</v>
      </c>
      <c r="G31" s="51">
        <f>'B一般'!G31+'B原料'!G31</f>
        <v>0</v>
      </c>
      <c r="H31" s="51">
        <f>'B一般'!H31+'B原料'!H31</f>
        <v>0</v>
      </c>
      <c r="I31" s="60">
        <f>'B一般'!I31+'B原料'!I31</f>
        <v>0</v>
      </c>
      <c r="J31" s="68">
        <f>'B一般'!J31+'B原料'!J31</f>
        <v>0</v>
      </c>
      <c r="K31" s="64">
        <f>'B一般'!K31+'B原料'!K31</f>
        <v>0</v>
      </c>
      <c r="L31" s="51">
        <f>'B一般'!L31+'B原料'!L31</f>
        <v>0</v>
      </c>
      <c r="M31" s="51">
        <f>'B一般'!M31+'B原料'!M31</f>
        <v>0</v>
      </c>
      <c r="N31" s="51">
        <f>'B一般'!N31+'B原料'!N31</f>
        <v>0</v>
      </c>
      <c r="O31" s="51">
        <f>'B一般'!O31+'B原料'!O31</f>
        <v>0</v>
      </c>
      <c r="P31" s="60">
        <f>'B一般'!P31+'B原料'!P31</f>
        <v>0</v>
      </c>
      <c r="Q31" s="68">
        <f>'B一般'!Q31+'B原料'!Q31</f>
        <v>0</v>
      </c>
      <c r="R31" s="64">
        <f>'B一般'!R31+'B原料'!R31</f>
        <v>0</v>
      </c>
      <c r="S31" s="16"/>
    </row>
    <row r="32" spans="1:19" s="17" customFormat="1" ht="16.5" customHeight="1">
      <c r="A32" s="122"/>
      <c r="B32" s="30" t="s">
        <v>10</v>
      </c>
      <c r="C32" s="34" t="s">
        <v>2</v>
      </c>
      <c r="D32" s="58">
        <f>'B一般'!D32+'B原料'!D32</f>
        <v>0</v>
      </c>
      <c r="E32" s="53">
        <f>'B一般'!E32+'B原料'!E32</f>
        <v>0</v>
      </c>
      <c r="F32" s="53">
        <f>'B一般'!F32+'B原料'!F32</f>
        <v>0</v>
      </c>
      <c r="G32" s="53">
        <f>'B一般'!G32+'B原料'!G32</f>
        <v>0</v>
      </c>
      <c r="H32" s="53">
        <f>'B一般'!H32+'B原料'!H32</f>
        <v>0</v>
      </c>
      <c r="I32" s="62">
        <f>'B一般'!I32+'B原料'!I32</f>
        <v>0</v>
      </c>
      <c r="J32" s="70">
        <f>'B一般'!J32+'B原料'!J32</f>
        <v>0</v>
      </c>
      <c r="K32" s="66">
        <f>'B一般'!K32+'B原料'!K32</f>
        <v>0</v>
      </c>
      <c r="L32" s="53">
        <f>'B一般'!L32+'B原料'!L32</f>
        <v>0</v>
      </c>
      <c r="M32" s="53">
        <f>'B一般'!M32+'B原料'!M32</f>
        <v>0</v>
      </c>
      <c r="N32" s="53">
        <f>'B一般'!N32+'B原料'!N32</f>
        <v>0</v>
      </c>
      <c r="O32" s="53">
        <f>'B一般'!O32+'B原料'!O32</f>
        <v>0</v>
      </c>
      <c r="P32" s="62">
        <f>'B一般'!P32+'B原料'!P32</f>
        <v>0</v>
      </c>
      <c r="Q32" s="70">
        <f>'B一般'!Q32+'B原料'!Q32</f>
        <v>0</v>
      </c>
      <c r="R32" s="66">
        <f>'B一般'!R32+'B原料'!R32</f>
        <v>0</v>
      </c>
      <c r="S32" s="16"/>
    </row>
    <row r="33" spans="1:19" s="17" customFormat="1" ht="16.5" customHeight="1" thickBot="1">
      <c r="A33" s="123"/>
      <c r="B33" s="18" t="s">
        <v>42</v>
      </c>
      <c r="C33" s="35" t="s">
        <v>3</v>
      </c>
      <c r="D33" s="57">
        <f>IF(D31=0,,D32/D31*1000)</f>
        <v>0</v>
      </c>
      <c r="E33" s="52">
        <f>IF(E31=0,,E32/E31*1000)</f>
        <v>0</v>
      </c>
      <c r="F33" s="52">
        <f>IF(F31=0,,F32/F31*1000)</f>
        <v>0</v>
      </c>
      <c r="G33" s="52">
        <f aca="true" t="shared" si="9" ref="G33:R33">IF(G31=0,,G32/G31*1000)</f>
        <v>0</v>
      </c>
      <c r="H33" s="52">
        <f t="shared" si="9"/>
        <v>0</v>
      </c>
      <c r="I33" s="61">
        <f t="shared" si="9"/>
        <v>0</v>
      </c>
      <c r="J33" s="69">
        <f t="shared" si="9"/>
        <v>0</v>
      </c>
      <c r="K33" s="65">
        <f t="shared" si="9"/>
        <v>0</v>
      </c>
      <c r="L33" s="52">
        <f t="shared" si="9"/>
        <v>0</v>
      </c>
      <c r="M33" s="52">
        <f t="shared" si="9"/>
        <v>0</v>
      </c>
      <c r="N33" s="52">
        <f t="shared" si="9"/>
        <v>0</v>
      </c>
      <c r="O33" s="52">
        <f t="shared" si="9"/>
        <v>0</v>
      </c>
      <c r="P33" s="61">
        <f t="shared" si="9"/>
        <v>0</v>
      </c>
      <c r="Q33" s="69">
        <f t="shared" si="9"/>
        <v>0</v>
      </c>
      <c r="R33" s="65">
        <f t="shared" si="9"/>
        <v>0</v>
      </c>
      <c r="S33" s="46"/>
    </row>
    <row r="34" spans="1:19" s="17" customFormat="1" ht="16.5" customHeight="1">
      <c r="A34" s="121" t="s">
        <v>49</v>
      </c>
      <c r="B34" s="30" t="s">
        <v>9</v>
      </c>
      <c r="C34" s="34" t="s">
        <v>1</v>
      </c>
      <c r="D34" s="56">
        <f>'B一般'!D34+'B原料'!D34</f>
        <v>0</v>
      </c>
      <c r="E34" s="51">
        <f>'B一般'!E34+'B原料'!E34</f>
        <v>0</v>
      </c>
      <c r="F34" s="51">
        <f>'B一般'!F34+'B原料'!F34</f>
        <v>0</v>
      </c>
      <c r="G34" s="51">
        <f>'B一般'!G34+'B原料'!G34</f>
        <v>0</v>
      </c>
      <c r="H34" s="51">
        <f>'B一般'!H34+'B原料'!H34</f>
        <v>0</v>
      </c>
      <c r="I34" s="60">
        <f>'B一般'!I34+'B原料'!I34</f>
        <v>0</v>
      </c>
      <c r="J34" s="68">
        <f>'B一般'!J34+'B原料'!J34</f>
        <v>0</v>
      </c>
      <c r="K34" s="64">
        <f>'B一般'!K34+'B原料'!K34</f>
        <v>9814</v>
      </c>
      <c r="L34" s="51">
        <f>'B一般'!L34+'B原料'!L34</f>
        <v>0</v>
      </c>
      <c r="M34" s="51">
        <f>'B一般'!M34+'B原料'!M34</f>
        <v>0</v>
      </c>
      <c r="N34" s="51">
        <f>'B一般'!N34+'B原料'!N34</f>
        <v>3000</v>
      </c>
      <c r="O34" s="51">
        <f>'B一般'!O34+'B原料'!O34</f>
        <v>0</v>
      </c>
      <c r="P34" s="60">
        <f>'B一般'!P34+'B原料'!P34</f>
        <v>0</v>
      </c>
      <c r="Q34" s="68">
        <f>'B一般'!Q34+'B原料'!Q34</f>
        <v>12814</v>
      </c>
      <c r="R34" s="64">
        <f>'B一般'!R34+'B原料'!R34</f>
        <v>12814</v>
      </c>
      <c r="S34" s="16"/>
    </row>
    <row r="35" spans="1:19" s="17" customFormat="1" ht="16.5" customHeight="1">
      <c r="A35" s="122"/>
      <c r="B35" s="30" t="s">
        <v>10</v>
      </c>
      <c r="C35" s="34" t="s">
        <v>2</v>
      </c>
      <c r="D35" s="56">
        <f>'B一般'!D35+'B原料'!D35</f>
        <v>0</v>
      </c>
      <c r="E35" s="51">
        <f>'B一般'!E35+'B原料'!E35</f>
        <v>0</v>
      </c>
      <c r="F35" s="51">
        <f>'B一般'!F35+'B原料'!F35</f>
        <v>0</v>
      </c>
      <c r="G35" s="51">
        <f>'B一般'!G35+'B原料'!G35</f>
        <v>0</v>
      </c>
      <c r="H35" s="51">
        <f>'B一般'!H35+'B原料'!H35</f>
        <v>0</v>
      </c>
      <c r="I35" s="60">
        <f>'B一般'!I35+'B原料'!I35</f>
        <v>0</v>
      </c>
      <c r="J35" s="68">
        <f>'B一般'!J35+'B原料'!J35</f>
        <v>0</v>
      </c>
      <c r="K35" s="64">
        <f>'B一般'!K35+'B原料'!K35</f>
        <v>511911</v>
      </c>
      <c r="L35" s="51">
        <f>'B一般'!L35+'B原料'!L35</f>
        <v>0</v>
      </c>
      <c r="M35" s="51">
        <f>'B一般'!M35+'B原料'!M35</f>
        <v>0</v>
      </c>
      <c r="N35" s="51">
        <f>'B一般'!N35+'B原料'!N35</f>
        <v>210639</v>
      </c>
      <c r="O35" s="51">
        <f>'B一般'!O35+'B原料'!O35</f>
        <v>0</v>
      </c>
      <c r="P35" s="60">
        <f>'B一般'!P35+'B原料'!P35</f>
        <v>0</v>
      </c>
      <c r="Q35" s="68">
        <f>'B一般'!Q35+'B原料'!Q35</f>
        <v>722550</v>
      </c>
      <c r="R35" s="64">
        <f>'B一般'!R35+'B原料'!R35</f>
        <v>722550</v>
      </c>
      <c r="S35" s="16"/>
    </row>
    <row r="36" spans="1:19" s="17" customFormat="1" ht="16.5" customHeight="1" thickBot="1">
      <c r="A36" s="123"/>
      <c r="B36" s="18" t="s">
        <v>42</v>
      </c>
      <c r="C36" s="35" t="s">
        <v>3</v>
      </c>
      <c r="D36" s="57">
        <f>IF(D34=0,,D35/D34*1000)</f>
        <v>0</v>
      </c>
      <c r="E36" s="52">
        <f>IF(E34=0,,E35/E34*1000)</f>
        <v>0</v>
      </c>
      <c r="F36" s="52">
        <f>IF(F34=0,,F35/F34*1000)</f>
        <v>0</v>
      </c>
      <c r="G36" s="52">
        <f aca="true" t="shared" si="10" ref="G36:R36">IF(G34=0,,G35/G34*1000)</f>
        <v>0</v>
      </c>
      <c r="H36" s="52">
        <f t="shared" si="10"/>
        <v>0</v>
      </c>
      <c r="I36" s="61">
        <f t="shared" si="10"/>
        <v>0</v>
      </c>
      <c r="J36" s="69">
        <f t="shared" si="10"/>
        <v>0</v>
      </c>
      <c r="K36" s="65">
        <f t="shared" si="10"/>
        <v>52161.300183411455</v>
      </c>
      <c r="L36" s="52">
        <f t="shared" si="10"/>
        <v>0</v>
      </c>
      <c r="M36" s="52">
        <f t="shared" si="10"/>
        <v>0</v>
      </c>
      <c r="N36" s="52">
        <f t="shared" si="10"/>
        <v>70213</v>
      </c>
      <c r="O36" s="52">
        <f t="shared" si="10"/>
        <v>0</v>
      </c>
      <c r="P36" s="61">
        <f t="shared" si="10"/>
        <v>0</v>
      </c>
      <c r="Q36" s="69">
        <f t="shared" si="10"/>
        <v>56387.544872795384</v>
      </c>
      <c r="R36" s="65">
        <f t="shared" si="10"/>
        <v>56387.544872795384</v>
      </c>
      <c r="S36" s="46"/>
    </row>
    <row r="37" spans="1:19" s="17" customFormat="1" ht="16.5" customHeight="1">
      <c r="A37" s="121" t="s">
        <v>12</v>
      </c>
      <c r="B37" s="30" t="s">
        <v>9</v>
      </c>
      <c r="C37" s="34" t="s">
        <v>1</v>
      </c>
      <c r="D37" s="59">
        <f>'B一般'!D37+'B原料'!D37</f>
        <v>10552</v>
      </c>
      <c r="E37" s="54">
        <f>'B一般'!E37+'B原料'!E37</f>
        <v>48</v>
      </c>
      <c r="F37" s="54">
        <f>'B一般'!F37+'B原料'!F37</f>
        <v>11571</v>
      </c>
      <c r="G37" s="54">
        <f>'B一般'!G37+'B原料'!G37</f>
        <v>72</v>
      </c>
      <c r="H37" s="54">
        <f>'B一般'!H37+'B原料'!H37</f>
        <v>60</v>
      </c>
      <c r="I37" s="63">
        <f>'B一般'!I37+'B原料'!I37</f>
        <v>21047</v>
      </c>
      <c r="J37" s="71">
        <f>'B一般'!J37+'B原料'!J37</f>
        <v>43350</v>
      </c>
      <c r="K37" s="67">
        <f>'B一般'!K37+'B原料'!K37</f>
        <v>3137</v>
      </c>
      <c r="L37" s="54">
        <f>'B一般'!L37+'B原料'!L37</f>
        <v>11881</v>
      </c>
      <c r="M37" s="54">
        <f>'B一般'!M37+'B原料'!M37</f>
        <v>329</v>
      </c>
      <c r="N37" s="54">
        <f>'B一般'!N37+'B原料'!N37</f>
        <v>159</v>
      </c>
      <c r="O37" s="54">
        <f>'B一般'!O37+'B原料'!O37</f>
        <v>11821</v>
      </c>
      <c r="P37" s="63">
        <f>'B一般'!P37+'B原料'!P37</f>
        <v>84</v>
      </c>
      <c r="Q37" s="71">
        <f>'B一般'!Q37+'B原料'!Q37</f>
        <v>27411</v>
      </c>
      <c r="R37" s="67">
        <f>'B一般'!R37+'B原料'!R37</f>
        <v>70761</v>
      </c>
      <c r="S37" s="16"/>
    </row>
    <row r="38" spans="1:19" s="17" customFormat="1" ht="16.5" customHeight="1">
      <c r="A38" s="122"/>
      <c r="B38" s="30" t="s">
        <v>10</v>
      </c>
      <c r="C38" s="34" t="s">
        <v>2</v>
      </c>
      <c r="D38" s="58">
        <f>'B一般'!D38+'B原料'!D38</f>
        <v>567750</v>
      </c>
      <c r="E38" s="53">
        <f>'B一般'!E38+'B原料'!E38</f>
        <v>19056</v>
      </c>
      <c r="F38" s="53">
        <f>'B一般'!F38+'B原料'!F38</f>
        <v>578324</v>
      </c>
      <c r="G38" s="53">
        <f>'B一般'!G38+'B原料'!G38</f>
        <v>26127</v>
      </c>
      <c r="H38" s="53">
        <f>'B一般'!H38+'B原料'!H38</f>
        <v>23354</v>
      </c>
      <c r="I38" s="62">
        <f>'B一般'!I38+'B原料'!I38</f>
        <v>929211</v>
      </c>
      <c r="J38" s="70">
        <f>'B一般'!J38+'B原料'!J38</f>
        <v>2143822</v>
      </c>
      <c r="K38" s="66">
        <f>'B一般'!K38+'B原料'!K38</f>
        <v>194379</v>
      </c>
      <c r="L38" s="53">
        <f>'B一般'!L38+'B原料'!L38</f>
        <v>691382</v>
      </c>
      <c r="M38" s="53">
        <f>'B一般'!M38+'B原料'!M38</f>
        <v>83537</v>
      </c>
      <c r="N38" s="53">
        <f>'B一般'!N38+'B原料'!N38</f>
        <v>41897</v>
      </c>
      <c r="O38" s="53">
        <f>'B一般'!O38+'B原料'!O38</f>
        <v>715301</v>
      </c>
      <c r="P38" s="62">
        <f>'B一般'!P38+'B原料'!P38</f>
        <v>33818</v>
      </c>
      <c r="Q38" s="70">
        <f>'B一般'!Q38+'B原料'!Q38</f>
        <v>1760314</v>
      </c>
      <c r="R38" s="66">
        <f>'B一般'!R38+'B原料'!R38</f>
        <v>3904136</v>
      </c>
      <c r="S38" s="16"/>
    </row>
    <row r="39" spans="1:19" s="17" customFormat="1" ht="16.5" customHeight="1" thickBot="1">
      <c r="A39" s="123"/>
      <c r="B39" s="18" t="s">
        <v>42</v>
      </c>
      <c r="C39" s="35" t="s">
        <v>3</v>
      </c>
      <c r="D39" s="57">
        <f>IF(D37=0,,D38/D37*1000)</f>
        <v>53804.965883244884</v>
      </c>
      <c r="E39" s="52">
        <f>IF(E37=0,,E38/E37*1000)</f>
        <v>397000</v>
      </c>
      <c r="F39" s="52">
        <f>IF(F37=0,,F38/F37*1000)</f>
        <v>49980.46841241034</v>
      </c>
      <c r="G39" s="52">
        <f aca="true" t="shared" si="11" ref="G39:R39">IF(G37=0,,G38/G37*1000)</f>
        <v>362875</v>
      </c>
      <c r="H39" s="52">
        <f t="shared" si="11"/>
        <v>389233.3333333334</v>
      </c>
      <c r="I39" s="61">
        <f t="shared" si="11"/>
        <v>44149.33244642942</v>
      </c>
      <c r="J39" s="69">
        <f t="shared" si="11"/>
        <v>49453.794694348326</v>
      </c>
      <c r="K39" s="65">
        <f t="shared" si="11"/>
        <v>61963.34077143768</v>
      </c>
      <c r="L39" s="52">
        <f t="shared" si="11"/>
        <v>58192.23971046208</v>
      </c>
      <c r="M39" s="52">
        <f t="shared" si="11"/>
        <v>253911.85410334347</v>
      </c>
      <c r="N39" s="52">
        <f t="shared" si="11"/>
        <v>263503.144654088</v>
      </c>
      <c r="O39" s="52">
        <f t="shared" si="11"/>
        <v>60511.03967515439</v>
      </c>
      <c r="P39" s="61">
        <f t="shared" si="11"/>
        <v>402595.23809523805</v>
      </c>
      <c r="Q39" s="69">
        <f t="shared" si="11"/>
        <v>64219.25504359564</v>
      </c>
      <c r="R39" s="65">
        <f t="shared" si="11"/>
        <v>55173.55605488899</v>
      </c>
      <c r="S39" s="46"/>
    </row>
    <row r="40" spans="1:19" s="17" customFormat="1" ht="16.5" customHeight="1">
      <c r="A40" s="121" t="s">
        <v>4</v>
      </c>
      <c r="B40" s="30" t="s">
        <v>9</v>
      </c>
      <c r="C40" s="34" t="s">
        <v>1</v>
      </c>
      <c r="D40" s="59">
        <f>'B一般'!D40+'B原料'!D40</f>
        <v>236190</v>
      </c>
      <c r="E40" s="54">
        <f>'B一般'!E40+'B原料'!E40</f>
        <v>259070</v>
      </c>
      <c r="F40" s="54">
        <f>'B一般'!F40+'B原料'!F40</f>
        <v>358982</v>
      </c>
      <c r="G40" s="54">
        <f>'B一般'!G40+'B原料'!G40</f>
        <v>211279</v>
      </c>
      <c r="H40" s="54">
        <f>'B一般'!H40+'B原料'!H40</f>
        <v>335341</v>
      </c>
      <c r="I40" s="63">
        <f>'B一般'!I40+'B原料'!I40</f>
        <v>329208</v>
      </c>
      <c r="J40" s="71">
        <f>'B一般'!J40+'B原料'!J40</f>
        <v>1730070</v>
      </c>
      <c r="K40" s="67">
        <f>'B一般'!K40+'B原料'!K40</f>
        <v>270055</v>
      </c>
      <c r="L40" s="54">
        <f>'B一般'!L40+'B原料'!L40</f>
        <v>294011</v>
      </c>
      <c r="M40" s="54">
        <f>'B一般'!M40+'B原料'!M40</f>
        <v>292353</v>
      </c>
      <c r="N40" s="54">
        <f>'B一般'!N40+'B原料'!N40</f>
        <v>248905</v>
      </c>
      <c r="O40" s="54">
        <f>'B一般'!O40+'B原料'!O40</f>
        <v>145308</v>
      </c>
      <c r="P40" s="63">
        <f>'B一般'!P40+'B原料'!P40</f>
        <v>263610</v>
      </c>
      <c r="Q40" s="71">
        <f>'B一般'!Q40+'B原料'!Q40</f>
        <v>1514242</v>
      </c>
      <c r="R40" s="67">
        <f>'B一般'!R40+'B原料'!R40</f>
        <v>3244312</v>
      </c>
      <c r="S40" s="16"/>
    </row>
    <row r="41" spans="1:19" s="17" customFormat="1" ht="16.5" customHeight="1">
      <c r="A41" s="122"/>
      <c r="B41" s="30" t="s">
        <v>10</v>
      </c>
      <c r="C41" s="34" t="s">
        <v>2</v>
      </c>
      <c r="D41" s="58">
        <f>'B一般'!D41+'B原料'!D41</f>
        <v>10788886</v>
      </c>
      <c r="E41" s="53">
        <f>'B一般'!E41+'B原料'!E41</f>
        <v>11291784</v>
      </c>
      <c r="F41" s="53">
        <f>'B一般'!F41+'B原料'!F41</f>
        <v>16707517</v>
      </c>
      <c r="G41" s="53">
        <f>'B一般'!G41+'B原料'!G41</f>
        <v>10654919</v>
      </c>
      <c r="H41" s="53">
        <f>'B一般'!H41+'B原料'!H41</f>
        <v>18455554</v>
      </c>
      <c r="I41" s="62">
        <f>'B一般'!I41+'B原料'!I41</f>
        <v>18097406</v>
      </c>
      <c r="J41" s="70">
        <f>'B一般'!J41+'B原料'!J41</f>
        <v>85996066</v>
      </c>
      <c r="K41" s="66">
        <f>'B一般'!K41+'B原料'!K41</f>
        <v>15171075</v>
      </c>
      <c r="L41" s="53">
        <f>'B一般'!L41+'B原料'!L41</f>
        <v>17195463</v>
      </c>
      <c r="M41" s="53">
        <f>'B一般'!M41+'B原料'!M41</f>
        <v>17986365</v>
      </c>
      <c r="N41" s="53">
        <f>'B一般'!N41+'B原料'!N41</f>
        <v>16557058</v>
      </c>
      <c r="O41" s="53">
        <f>'B一般'!O41+'B原料'!O41</f>
        <v>9573944</v>
      </c>
      <c r="P41" s="62">
        <f>'B一般'!P41+'B原料'!P41</f>
        <v>17552921</v>
      </c>
      <c r="Q41" s="70">
        <f>'B一般'!Q41+'B原料'!Q41</f>
        <v>94036826</v>
      </c>
      <c r="R41" s="66">
        <f>'B一般'!R41+'B原料'!R41</f>
        <v>180032892</v>
      </c>
      <c r="S41" s="16"/>
    </row>
    <row r="42" spans="1:19" s="17" customFormat="1" ht="16.5" customHeight="1" thickBot="1">
      <c r="A42" s="123"/>
      <c r="B42" s="18" t="s">
        <v>42</v>
      </c>
      <c r="C42" s="35" t="s">
        <v>3</v>
      </c>
      <c r="D42" s="57">
        <f>IF(D40=0,,D41/D40*1000)</f>
        <v>45678.84330411957</v>
      </c>
      <c r="E42" s="52">
        <f>IF(E40=0,,E41/E40*1000)</f>
        <v>43585.84166441502</v>
      </c>
      <c r="F42" s="52">
        <f>IF(F40=0,,F41/F40*1000)</f>
        <v>46541.378119237175</v>
      </c>
      <c r="G42" s="52">
        <f aca="true" t="shared" si="12" ref="G42:R42">IF(G40=0,,G41/G40*1000)</f>
        <v>50430.5633782818</v>
      </c>
      <c r="H42" s="52">
        <f t="shared" si="12"/>
        <v>55035.18508026158</v>
      </c>
      <c r="I42" s="61">
        <f t="shared" si="12"/>
        <v>54972.558382542345</v>
      </c>
      <c r="J42" s="69">
        <f t="shared" si="12"/>
        <v>49706.69741686753</v>
      </c>
      <c r="K42" s="65">
        <f t="shared" si="12"/>
        <v>56177.723056414434</v>
      </c>
      <c r="L42" s="52">
        <f t="shared" si="12"/>
        <v>58485.7811442429</v>
      </c>
      <c r="M42" s="52">
        <f t="shared" si="12"/>
        <v>61522.76528716996</v>
      </c>
      <c r="N42" s="52">
        <f t="shared" si="12"/>
        <v>66519.58779454009</v>
      </c>
      <c r="O42" s="52">
        <f t="shared" si="12"/>
        <v>65887.24640074876</v>
      </c>
      <c r="P42" s="61">
        <f t="shared" si="12"/>
        <v>66586.70384279807</v>
      </c>
      <c r="Q42" s="69">
        <f t="shared" si="12"/>
        <v>62101.5834985425</v>
      </c>
      <c r="R42" s="65">
        <f t="shared" si="12"/>
        <v>55491.855283955425</v>
      </c>
      <c r="S42" s="46"/>
    </row>
    <row r="43" spans="1:19" s="17" customFormat="1" ht="24" customHeight="1" thickBot="1">
      <c r="A43" s="127" t="s">
        <v>13</v>
      </c>
      <c r="B43" s="128"/>
      <c r="C43" s="129"/>
      <c r="D43" s="74">
        <f>'総合計'!D43</f>
        <v>98.82</v>
      </c>
      <c r="E43" s="75">
        <f>'総合計'!E43</f>
        <v>97.81</v>
      </c>
      <c r="F43" s="75">
        <f>'総合計'!F43</f>
        <v>96.17</v>
      </c>
      <c r="G43" s="75">
        <f>'総合計'!G43</f>
        <v>95.09</v>
      </c>
      <c r="H43" s="75">
        <f>'総合計'!H43</f>
        <v>94.97</v>
      </c>
      <c r="I43" s="76">
        <f>'総合計'!I43</f>
        <v>93.05</v>
      </c>
      <c r="J43" s="77">
        <f>'総合計'!J43</f>
        <v>95.92</v>
      </c>
      <c r="K43" s="78">
        <f>'総合計'!K43</f>
        <v>89.99</v>
      </c>
      <c r="L43" s="75">
        <f>'総合計'!L43</f>
        <v>90.61</v>
      </c>
      <c r="M43" s="75">
        <f>'総合計'!M43</f>
        <v>88.33</v>
      </c>
      <c r="N43" s="75">
        <f>'総合計'!N43</f>
        <v>91.61</v>
      </c>
      <c r="O43" s="75">
        <f>'総合計'!O43</f>
        <v>90.22</v>
      </c>
      <c r="P43" s="76">
        <f>'総合計'!P43</f>
        <v>90.11</v>
      </c>
      <c r="Q43" s="77">
        <f>'総合計'!Q43</f>
        <v>90.16</v>
      </c>
      <c r="R43" s="79">
        <f>'総合計'!R43</f>
        <v>92.97</v>
      </c>
      <c r="S43" s="16"/>
    </row>
    <row r="44" ht="12.75">
      <c r="A44" s="97" t="str">
        <f>'総合計'!A53</f>
        <v>※数値はすべて確定値。</v>
      </c>
    </row>
  </sheetData>
  <mergeCells count="15">
    <mergeCell ref="D1:P1"/>
    <mergeCell ref="A4:A6"/>
    <mergeCell ref="A7:A9"/>
    <mergeCell ref="A10:A12"/>
    <mergeCell ref="A13:A15"/>
    <mergeCell ref="A16:A18"/>
    <mergeCell ref="A19:A21"/>
    <mergeCell ref="A22:A24"/>
    <mergeCell ref="A37:A39"/>
    <mergeCell ref="A40:A42"/>
    <mergeCell ref="A43:C43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71" r:id="rId2"/>
  <headerFooter alignWithMargins="0">
    <oddFooter>&amp;C&amp;20-7-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showZeros="0" zoomScale="55" zoomScaleNormal="55" zoomScaleSheetLayoutView="70" workbookViewId="0" topLeftCell="A1">
      <selection activeCell="Q43" sqref="Q43"/>
    </sheetView>
  </sheetViews>
  <sheetFormatPr defaultColWidth="9.140625" defaultRowHeight="12.75"/>
  <cols>
    <col min="1" max="1" width="14.421875" style="0" customWidth="1"/>
    <col min="4" max="9" width="10.7109375" style="0" customWidth="1"/>
    <col min="10" max="10" width="11.28125" style="0" customWidth="1"/>
    <col min="11" max="16" width="10.7109375" style="0" customWidth="1"/>
    <col min="17" max="18" width="11.28125" style="0" customWidth="1"/>
    <col min="19" max="19" width="5.421875" style="0" customWidth="1"/>
  </cols>
  <sheetData>
    <row r="1" spans="1:16" ht="27.75" customHeight="1">
      <c r="A1" s="13" t="s">
        <v>37</v>
      </c>
      <c r="B1" s="10" t="s">
        <v>93</v>
      </c>
      <c r="C1" s="1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8" ht="18" customHeight="1" thickBot="1">
      <c r="A2" s="12" t="s">
        <v>0</v>
      </c>
      <c r="B2" s="15" t="s">
        <v>6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8">
        <f>'総合計'!Q2</f>
        <v>40616</v>
      </c>
    </row>
    <row r="3" spans="1:19" ht="24" customHeight="1" thickBot="1">
      <c r="A3" s="28" t="s">
        <v>38</v>
      </c>
      <c r="B3" s="29"/>
      <c r="C3" s="29"/>
      <c r="D3" s="21" t="s">
        <v>16</v>
      </c>
      <c r="E3" s="23" t="s">
        <v>17</v>
      </c>
      <c r="F3" s="23" t="s">
        <v>18</v>
      </c>
      <c r="G3" s="23" t="s">
        <v>19</v>
      </c>
      <c r="H3" s="23" t="s">
        <v>20</v>
      </c>
      <c r="I3" s="24" t="s">
        <v>21</v>
      </c>
      <c r="J3" s="25" t="s">
        <v>22</v>
      </c>
      <c r="K3" s="24" t="s">
        <v>23</v>
      </c>
      <c r="L3" s="23" t="s">
        <v>24</v>
      </c>
      <c r="M3" s="23" t="s">
        <v>25</v>
      </c>
      <c r="N3" s="23" t="s">
        <v>26</v>
      </c>
      <c r="O3" s="23" t="s">
        <v>27</v>
      </c>
      <c r="P3" s="24" t="s">
        <v>28</v>
      </c>
      <c r="Q3" s="25" t="s">
        <v>29</v>
      </c>
      <c r="R3" s="26" t="s">
        <v>30</v>
      </c>
      <c r="S3" s="5"/>
    </row>
    <row r="4" spans="1:19" s="17" customFormat="1" ht="16.5" customHeight="1">
      <c r="A4" s="101" t="s">
        <v>41</v>
      </c>
      <c r="B4" s="30" t="s">
        <v>9</v>
      </c>
      <c r="C4" s="33" t="s">
        <v>1</v>
      </c>
      <c r="D4" s="83">
        <v>16349</v>
      </c>
      <c r="E4" s="51">
        <v>18050</v>
      </c>
      <c r="F4" s="51">
        <v>73882</v>
      </c>
      <c r="G4" s="51">
        <v>5042</v>
      </c>
      <c r="H4" s="51">
        <v>10113</v>
      </c>
      <c r="I4" s="80">
        <v>27179</v>
      </c>
      <c r="J4" s="73">
        <f>SUM(D4:I4)</f>
        <v>150615</v>
      </c>
      <c r="K4" s="80">
        <v>47710</v>
      </c>
      <c r="L4" s="51">
        <v>8493</v>
      </c>
      <c r="M4" s="51">
        <v>14818</v>
      </c>
      <c r="N4" s="51">
        <v>32487</v>
      </c>
      <c r="O4" s="51">
        <v>13486</v>
      </c>
      <c r="P4" s="80">
        <v>29432</v>
      </c>
      <c r="Q4" s="73">
        <f>SUM(K4:P4)</f>
        <v>146426</v>
      </c>
      <c r="R4" s="64">
        <f>J4+Q4</f>
        <v>297041</v>
      </c>
      <c r="S4" s="16"/>
    </row>
    <row r="5" spans="1:19" s="17" customFormat="1" ht="16.5" customHeight="1">
      <c r="A5" s="102"/>
      <c r="B5" s="30" t="s">
        <v>10</v>
      </c>
      <c r="C5" s="34" t="s">
        <v>2</v>
      </c>
      <c r="D5" s="83">
        <v>735190</v>
      </c>
      <c r="E5" s="51">
        <v>771275</v>
      </c>
      <c r="F5" s="51">
        <v>3335633</v>
      </c>
      <c r="G5" s="51">
        <v>221692</v>
      </c>
      <c r="H5" s="51">
        <v>509915</v>
      </c>
      <c r="I5" s="80">
        <v>1540709</v>
      </c>
      <c r="J5" s="68">
        <f>SUM(D5:I5)</f>
        <v>7114414</v>
      </c>
      <c r="K5" s="81">
        <v>2632077</v>
      </c>
      <c r="L5" s="53">
        <v>478239</v>
      </c>
      <c r="M5" s="53">
        <v>928776</v>
      </c>
      <c r="N5" s="53">
        <v>2203662</v>
      </c>
      <c r="O5" s="53">
        <v>894997</v>
      </c>
      <c r="P5" s="81">
        <v>1927546</v>
      </c>
      <c r="Q5" s="68">
        <f>SUM(K5:P5)</f>
        <v>9065297</v>
      </c>
      <c r="R5" s="64">
        <f>J5+Q5</f>
        <v>16179711</v>
      </c>
      <c r="S5" s="16"/>
    </row>
    <row r="6" spans="1:19" s="17" customFormat="1" ht="16.5" customHeight="1" thickBot="1">
      <c r="A6" s="103"/>
      <c r="B6" s="18" t="s">
        <v>42</v>
      </c>
      <c r="C6" s="35" t="s">
        <v>3</v>
      </c>
      <c r="D6" s="84">
        <f aca="true" t="shared" si="0" ref="D6:I6">IF(D4=0,,D5/D4*1000)</f>
        <v>44968.49960242216</v>
      </c>
      <c r="E6" s="52">
        <f t="shared" si="0"/>
        <v>42729.916897506926</v>
      </c>
      <c r="F6" s="52">
        <f t="shared" si="0"/>
        <v>45148.11456105682</v>
      </c>
      <c r="G6" s="52">
        <f t="shared" si="0"/>
        <v>43969.05989686632</v>
      </c>
      <c r="H6" s="52">
        <f t="shared" si="0"/>
        <v>50421.7344012657</v>
      </c>
      <c r="I6" s="82">
        <f t="shared" si="0"/>
        <v>56687.479303874316</v>
      </c>
      <c r="J6" s="69">
        <f aca="true" t="shared" si="1" ref="J6:P6">IF(J4=0,,J5/J4*1000)</f>
        <v>47235.76005045978</v>
      </c>
      <c r="K6" s="82">
        <f t="shared" si="1"/>
        <v>55168.24565080696</v>
      </c>
      <c r="L6" s="52">
        <f t="shared" si="1"/>
        <v>56309.78452843518</v>
      </c>
      <c r="M6" s="52">
        <f t="shared" si="1"/>
        <v>62678.904035632346</v>
      </c>
      <c r="N6" s="52">
        <f t="shared" si="1"/>
        <v>67832.11746236957</v>
      </c>
      <c r="O6" s="52">
        <f t="shared" si="1"/>
        <v>66364.89693014979</v>
      </c>
      <c r="P6" s="82">
        <f t="shared" si="1"/>
        <v>65491.50584397934</v>
      </c>
      <c r="Q6" s="69">
        <f>IF(Q4=0,,Q5/Q4*1000)</f>
        <v>61910.432573450074</v>
      </c>
      <c r="R6" s="65">
        <f>IF(R4=0,,R5/R4*1000)</f>
        <v>54469.62203870846</v>
      </c>
      <c r="S6" s="46"/>
    </row>
    <row r="7" spans="1:19" s="17" customFormat="1" ht="16.5" customHeight="1">
      <c r="A7" s="101" t="s">
        <v>51</v>
      </c>
      <c r="B7" s="30" t="s">
        <v>9</v>
      </c>
      <c r="C7" s="34" t="s">
        <v>1</v>
      </c>
      <c r="D7" s="83">
        <v>23857</v>
      </c>
      <c r="E7" s="51">
        <v>18516</v>
      </c>
      <c r="F7" s="51">
        <v>5540</v>
      </c>
      <c r="G7" s="51">
        <v>2983</v>
      </c>
      <c r="H7" s="51">
        <v>1886</v>
      </c>
      <c r="I7" s="80">
        <v>15282</v>
      </c>
      <c r="J7" s="68">
        <f>SUM(D7:I7)</f>
        <v>68064</v>
      </c>
      <c r="K7" s="80">
        <v>13525</v>
      </c>
      <c r="L7" s="51">
        <v>27665</v>
      </c>
      <c r="M7" s="51">
        <v>42953</v>
      </c>
      <c r="N7" s="51">
        <v>11250</v>
      </c>
      <c r="O7" s="51">
        <v>11958</v>
      </c>
      <c r="P7" s="80">
        <v>10982</v>
      </c>
      <c r="Q7" s="68">
        <f>SUM(K7:P7)</f>
        <v>118333</v>
      </c>
      <c r="R7" s="64">
        <f>J7+Q7</f>
        <v>186397</v>
      </c>
      <c r="S7" s="16"/>
    </row>
    <row r="8" spans="1:19" s="17" customFormat="1" ht="16.5" customHeight="1">
      <c r="A8" s="102"/>
      <c r="B8" s="30" t="s">
        <v>10</v>
      </c>
      <c r="C8" s="34" t="s">
        <v>2</v>
      </c>
      <c r="D8" s="83">
        <v>1197178</v>
      </c>
      <c r="E8" s="51">
        <v>765660</v>
      </c>
      <c r="F8" s="51">
        <v>248581</v>
      </c>
      <c r="G8" s="51">
        <v>159777</v>
      </c>
      <c r="H8" s="51">
        <v>101055</v>
      </c>
      <c r="I8" s="80">
        <v>838247</v>
      </c>
      <c r="J8" s="68">
        <f>SUM(D8:I8)</f>
        <v>3310498</v>
      </c>
      <c r="K8" s="81">
        <v>782742</v>
      </c>
      <c r="L8" s="53">
        <v>1514651</v>
      </c>
      <c r="M8" s="53">
        <v>2621757</v>
      </c>
      <c r="N8" s="53">
        <v>780720</v>
      </c>
      <c r="O8" s="53">
        <v>708259</v>
      </c>
      <c r="P8" s="81">
        <v>758358</v>
      </c>
      <c r="Q8" s="68">
        <f>SUM(K8:P8)</f>
        <v>7166487</v>
      </c>
      <c r="R8" s="64">
        <f>J8+Q8</f>
        <v>10476985</v>
      </c>
      <c r="S8" s="16"/>
    </row>
    <row r="9" spans="1:19" s="17" customFormat="1" ht="16.5" customHeight="1" thickBot="1">
      <c r="A9" s="103"/>
      <c r="B9" s="18" t="s">
        <v>42</v>
      </c>
      <c r="C9" s="35" t="s">
        <v>3</v>
      </c>
      <c r="D9" s="84">
        <f aca="true" t="shared" si="2" ref="D9:I9">IF(D7=0,,D8/D7*1000)</f>
        <v>50181.414259965626</v>
      </c>
      <c r="E9" s="52">
        <f t="shared" si="2"/>
        <v>41351.263771872975</v>
      </c>
      <c r="F9" s="52">
        <f t="shared" si="2"/>
        <v>44870.216606498194</v>
      </c>
      <c r="G9" s="52">
        <f t="shared" si="2"/>
        <v>53562.520952061685</v>
      </c>
      <c r="H9" s="52">
        <f t="shared" si="2"/>
        <v>53581.65429480382</v>
      </c>
      <c r="I9" s="82">
        <f t="shared" si="2"/>
        <v>54851.917288313045</v>
      </c>
      <c r="J9" s="69">
        <f aca="true" t="shared" si="3" ref="J9:P9">IF(J7=0,,J8/J7*1000)</f>
        <v>48638.0171603197</v>
      </c>
      <c r="K9" s="82">
        <f t="shared" si="3"/>
        <v>57873.71534195933</v>
      </c>
      <c r="L9" s="52">
        <f t="shared" si="3"/>
        <v>54749.71986264233</v>
      </c>
      <c r="M9" s="52">
        <f t="shared" si="3"/>
        <v>61037.80876772286</v>
      </c>
      <c r="N9" s="52">
        <f t="shared" si="3"/>
        <v>69397.33333333334</v>
      </c>
      <c r="O9" s="52">
        <f t="shared" si="3"/>
        <v>59228.88442883426</v>
      </c>
      <c r="P9" s="82">
        <f t="shared" si="3"/>
        <v>69054.63485703879</v>
      </c>
      <c r="Q9" s="69">
        <f>IF(Q7=0,,Q8/Q7*1000)</f>
        <v>60562.03256910583</v>
      </c>
      <c r="R9" s="65">
        <f>IF(R7=0,,R8/R7*1000)</f>
        <v>56207.905706636906</v>
      </c>
      <c r="S9" s="16"/>
    </row>
    <row r="10" spans="1:19" s="17" customFormat="1" ht="16.5" customHeight="1">
      <c r="A10" s="101" t="s">
        <v>52</v>
      </c>
      <c r="B10" s="30" t="s">
        <v>9</v>
      </c>
      <c r="C10" s="34" t="s">
        <v>1</v>
      </c>
      <c r="D10" s="83"/>
      <c r="E10" s="51"/>
      <c r="F10" s="51">
        <v>10438</v>
      </c>
      <c r="G10" s="51"/>
      <c r="H10" s="51">
        <v>0</v>
      </c>
      <c r="I10" s="80">
        <v>0</v>
      </c>
      <c r="J10" s="68">
        <f>SUM(D10:I10)</f>
        <v>10438</v>
      </c>
      <c r="K10" s="80">
        <v>3476</v>
      </c>
      <c r="L10" s="51">
        <v>11953</v>
      </c>
      <c r="M10" s="51">
        <v>21496</v>
      </c>
      <c r="N10" s="51">
        <v>10712</v>
      </c>
      <c r="O10" s="51">
        <v>11626</v>
      </c>
      <c r="P10" s="80">
        <v>11559</v>
      </c>
      <c r="Q10" s="68">
        <f>SUM(K10:P10)</f>
        <v>70822</v>
      </c>
      <c r="R10" s="64">
        <f>J10+Q10</f>
        <v>81260</v>
      </c>
      <c r="S10" s="16"/>
    </row>
    <row r="11" spans="1:19" s="17" customFormat="1" ht="16.5" customHeight="1">
      <c r="A11" s="102"/>
      <c r="B11" s="30" t="s">
        <v>10</v>
      </c>
      <c r="C11" s="34" t="s">
        <v>2</v>
      </c>
      <c r="D11" s="83"/>
      <c r="E11" s="51"/>
      <c r="F11" s="51">
        <v>436013</v>
      </c>
      <c r="G11" s="51"/>
      <c r="H11" s="51">
        <v>0</v>
      </c>
      <c r="I11" s="80">
        <v>0</v>
      </c>
      <c r="J11" s="70">
        <f>SUM(D11:I11)</f>
        <v>436013</v>
      </c>
      <c r="K11" s="81">
        <v>223074</v>
      </c>
      <c r="L11" s="53">
        <v>733955</v>
      </c>
      <c r="M11" s="53">
        <v>1373445</v>
      </c>
      <c r="N11" s="53">
        <v>658287</v>
      </c>
      <c r="O11" s="53">
        <v>705736</v>
      </c>
      <c r="P11" s="81">
        <v>811497</v>
      </c>
      <c r="Q11" s="70">
        <f>SUM(K11:P11)</f>
        <v>4505994</v>
      </c>
      <c r="R11" s="66">
        <f>J11+Q11</f>
        <v>4942007</v>
      </c>
      <c r="S11" s="16"/>
    </row>
    <row r="12" spans="1:19" s="17" customFormat="1" ht="16.5" customHeight="1" thickBot="1">
      <c r="A12" s="103"/>
      <c r="B12" s="18" t="s">
        <v>42</v>
      </c>
      <c r="C12" s="35" t="s">
        <v>3</v>
      </c>
      <c r="D12" s="84">
        <f aca="true" t="shared" si="4" ref="D12:I12">IF(D10=0,,D11/D10*1000)</f>
        <v>0</v>
      </c>
      <c r="E12" s="52">
        <f t="shared" si="4"/>
        <v>0</v>
      </c>
      <c r="F12" s="52">
        <f t="shared" si="4"/>
        <v>41771.69955930255</v>
      </c>
      <c r="G12" s="52">
        <f t="shared" si="4"/>
        <v>0</v>
      </c>
      <c r="H12" s="52">
        <f t="shared" si="4"/>
        <v>0</v>
      </c>
      <c r="I12" s="82">
        <f t="shared" si="4"/>
        <v>0</v>
      </c>
      <c r="J12" s="69">
        <f aca="true" t="shared" si="5" ref="J12:P12">IF(J10=0,,J11/J10*1000)</f>
        <v>41771.69955930255</v>
      </c>
      <c r="K12" s="82">
        <f t="shared" si="5"/>
        <v>64175.48906789413</v>
      </c>
      <c r="L12" s="52">
        <f t="shared" si="5"/>
        <v>61403.4133690287</v>
      </c>
      <c r="M12" s="52">
        <f t="shared" si="5"/>
        <v>63893.049869743205</v>
      </c>
      <c r="N12" s="52">
        <f t="shared" si="5"/>
        <v>61453.23002240478</v>
      </c>
      <c r="O12" s="52">
        <f t="shared" si="5"/>
        <v>60703.25133321864</v>
      </c>
      <c r="P12" s="82">
        <f t="shared" si="5"/>
        <v>70204.7754996107</v>
      </c>
      <c r="Q12" s="69">
        <f>IF(Q10=0,,Q11/Q10*1000)</f>
        <v>63624.21281522691</v>
      </c>
      <c r="R12" s="65">
        <f>IF(R10=0,,R11/R10*1000)</f>
        <v>60817.216342603984</v>
      </c>
      <c r="S12" s="46"/>
    </row>
    <row r="13" spans="1:19" s="17" customFormat="1" ht="16.5" customHeight="1">
      <c r="A13" s="101" t="s">
        <v>94</v>
      </c>
      <c r="B13" s="30" t="s">
        <v>9</v>
      </c>
      <c r="C13" s="34" t="s">
        <v>1</v>
      </c>
      <c r="D13" s="83"/>
      <c r="E13" s="51"/>
      <c r="F13" s="51"/>
      <c r="G13" s="51"/>
      <c r="H13" s="51"/>
      <c r="I13" s="80"/>
      <c r="J13" s="68">
        <f>SUM(D13:I13)</f>
        <v>0</v>
      </c>
      <c r="K13" s="80"/>
      <c r="L13" s="51">
        <v>10000</v>
      </c>
      <c r="M13" s="51">
        <v>5000</v>
      </c>
      <c r="N13" s="51">
        <v>12798</v>
      </c>
      <c r="O13" s="51"/>
      <c r="P13" s="80"/>
      <c r="Q13" s="68">
        <f>SUM(K13:P13)</f>
        <v>27798</v>
      </c>
      <c r="R13" s="64">
        <f>J13+Q13</f>
        <v>27798</v>
      </c>
      <c r="S13" s="16"/>
    </row>
    <row r="14" spans="1:19" s="17" customFormat="1" ht="16.5" customHeight="1">
      <c r="A14" s="102"/>
      <c r="B14" s="30" t="s">
        <v>10</v>
      </c>
      <c r="C14" s="34" t="s">
        <v>2</v>
      </c>
      <c r="D14" s="83"/>
      <c r="E14" s="51"/>
      <c r="F14" s="51"/>
      <c r="G14" s="51"/>
      <c r="H14" s="51"/>
      <c r="I14" s="80"/>
      <c r="J14" s="70">
        <f>SUM(D14:I14)</f>
        <v>0</v>
      </c>
      <c r="K14" s="81"/>
      <c r="L14" s="53">
        <v>649242</v>
      </c>
      <c r="M14" s="53">
        <v>316649</v>
      </c>
      <c r="N14" s="53">
        <v>888587</v>
      </c>
      <c r="O14" s="53"/>
      <c r="P14" s="81"/>
      <c r="Q14" s="70">
        <f>SUM(K14:P14)</f>
        <v>1854478</v>
      </c>
      <c r="R14" s="66">
        <f>J14+Q14</f>
        <v>1854478</v>
      </c>
      <c r="S14" s="16"/>
    </row>
    <row r="15" spans="1:19" s="17" customFormat="1" ht="16.5" customHeight="1" thickBot="1">
      <c r="A15" s="103"/>
      <c r="B15" s="18" t="s">
        <v>42</v>
      </c>
      <c r="C15" s="35" t="s">
        <v>3</v>
      </c>
      <c r="D15" s="84">
        <f aca="true" t="shared" si="6" ref="D15:I15">IF(D13=0,,D14/D13*1000)</f>
        <v>0</v>
      </c>
      <c r="E15" s="52">
        <f t="shared" si="6"/>
        <v>0</v>
      </c>
      <c r="F15" s="52">
        <f t="shared" si="6"/>
        <v>0</v>
      </c>
      <c r="G15" s="52">
        <f t="shared" si="6"/>
        <v>0</v>
      </c>
      <c r="H15" s="52">
        <f t="shared" si="6"/>
        <v>0</v>
      </c>
      <c r="I15" s="82">
        <f t="shared" si="6"/>
        <v>0</v>
      </c>
      <c r="J15" s="69">
        <f aca="true" t="shared" si="7" ref="J15:P15">IF(J13=0,,J14/J13*1000)</f>
        <v>0</v>
      </c>
      <c r="K15" s="82">
        <f t="shared" si="7"/>
        <v>0</v>
      </c>
      <c r="L15" s="52">
        <f t="shared" si="7"/>
        <v>64924.2</v>
      </c>
      <c r="M15" s="52">
        <f t="shared" si="7"/>
        <v>63329.799999999996</v>
      </c>
      <c r="N15" s="52">
        <f t="shared" si="7"/>
        <v>69431.7080793874</v>
      </c>
      <c r="O15" s="52">
        <f t="shared" si="7"/>
        <v>0</v>
      </c>
      <c r="P15" s="82">
        <f t="shared" si="7"/>
        <v>0</v>
      </c>
      <c r="Q15" s="69">
        <f>IF(Q13=0,,Q14/Q13*1000)</f>
        <v>66712.64119720843</v>
      </c>
      <c r="R15" s="65">
        <f>IF(R13=0,,R14/R13*1000)</f>
        <v>66712.64119720843</v>
      </c>
      <c r="S15" s="46"/>
    </row>
    <row r="16" spans="1:19" s="17" customFormat="1" ht="16.5" customHeight="1">
      <c r="A16" s="101" t="s">
        <v>96</v>
      </c>
      <c r="B16" s="30" t="s">
        <v>9</v>
      </c>
      <c r="C16" s="34" t="s">
        <v>1</v>
      </c>
      <c r="D16" s="83">
        <v>23293</v>
      </c>
      <c r="E16" s="51">
        <v>2810</v>
      </c>
      <c r="F16" s="51">
        <v>25079</v>
      </c>
      <c r="G16" s="51">
        <v>37015</v>
      </c>
      <c r="H16" s="51">
        <v>34649</v>
      </c>
      <c r="I16" s="80">
        <v>29980</v>
      </c>
      <c r="J16" s="68">
        <f>SUM(D16:I16)</f>
        <v>152826</v>
      </c>
      <c r="K16" s="80">
        <v>26323</v>
      </c>
      <c r="L16" s="51">
        <v>84629</v>
      </c>
      <c r="M16" s="51">
        <v>48020</v>
      </c>
      <c r="N16" s="51">
        <v>27240</v>
      </c>
      <c r="O16" s="51">
        <v>34414</v>
      </c>
      <c r="P16" s="80">
        <v>90738</v>
      </c>
      <c r="Q16" s="68">
        <f>SUM(K16:P16)</f>
        <v>311364</v>
      </c>
      <c r="R16" s="64">
        <f>J16+Q16</f>
        <v>464190</v>
      </c>
      <c r="S16" s="16"/>
    </row>
    <row r="17" spans="1:19" s="17" customFormat="1" ht="16.5" customHeight="1">
      <c r="A17" s="102"/>
      <c r="B17" s="30" t="s">
        <v>10</v>
      </c>
      <c r="C17" s="34" t="s">
        <v>2</v>
      </c>
      <c r="D17" s="83">
        <v>1179224</v>
      </c>
      <c r="E17" s="51">
        <v>116983</v>
      </c>
      <c r="F17" s="51">
        <v>1051644</v>
      </c>
      <c r="G17" s="51">
        <v>1996935</v>
      </c>
      <c r="H17" s="51">
        <v>1965970</v>
      </c>
      <c r="I17" s="80">
        <v>1759232</v>
      </c>
      <c r="J17" s="68">
        <f>SUM(D17:I17)</f>
        <v>8069988</v>
      </c>
      <c r="K17" s="81">
        <v>1415268</v>
      </c>
      <c r="L17" s="53">
        <v>5156092</v>
      </c>
      <c r="M17" s="53">
        <v>2805708</v>
      </c>
      <c r="N17" s="53">
        <v>1870544</v>
      </c>
      <c r="O17" s="53">
        <v>2194830</v>
      </c>
      <c r="P17" s="81">
        <v>5731300</v>
      </c>
      <c r="Q17" s="68">
        <f>SUM(K17:P17)</f>
        <v>19173742</v>
      </c>
      <c r="R17" s="64">
        <f>J17+Q17</f>
        <v>27243730</v>
      </c>
      <c r="S17" s="16"/>
    </row>
    <row r="18" spans="1:19" s="17" customFormat="1" ht="16.5" customHeight="1" thickBot="1">
      <c r="A18" s="103"/>
      <c r="B18" s="18" t="s">
        <v>42</v>
      </c>
      <c r="C18" s="35" t="s">
        <v>3</v>
      </c>
      <c r="D18" s="84">
        <f aca="true" t="shared" si="8" ref="D18:I18">IF(D16=0,,D17/D16*1000)</f>
        <v>50625.68153522518</v>
      </c>
      <c r="E18" s="52">
        <f t="shared" si="8"/>
        <v>41630.960854092526</v>
      </c>
      <c r="F18" s="52">
        <f t="shared" si="8"/>
        <v>41933.25092707046</v>
      </c>
      <c r="G18" s="52">
        <f t="shared" si="8"/>
        <v>53949.34486019181</v>
      </c>
      <c r="H18" s="52">
        <f t="shared" si="8"/>
        <v>56739.588444110945</v>
      </c>
      <c r="I18" s="82">
        <f t="shared" si="8"/>
        <v>58680.18679119413</v>
      </c>
      <c r="J18" s="69">
        <f aca="true" t="shared" si="9" ref="J18:P18">IF(J16=0,,J17/J16*1000)</f>
        <v>52805.0724353186</v>
      </c>
      <c r="K18" s="82">
        <f t="shared" si="9"/>
        <v>53765.4522660791</v>
      </c>
      <c r="L18" s="52">
        <f t="shared" si="9"/>
        <v>60925.829207482064</v>
      </c>
      <c r="M18" s="52">
        <f t="shared" si="9"/>
        <v>58427.905039566846</v>
      </c>
      <c r="N18" s="52">
        <f t="shared" si="9"/>
        <v>68669.01615271659</v>
      </c>
      <c r="O18" s="52">
        <f t="shared" si="9"/>
        <v>63777.24182018946</v>
      </c>
      <c r="P18" s="82">
        <f t="shared" si="9"/>
        <v>63163.17309175868</v>
      </c>
      <c r="Q18" s="69">
        <f>IF(Q16=0,,Q17/Q16*1000)</f>
        <v>61579.82939581969</v>
      </c>
      <c r="R18" s="65">
        <f>IF(R16=0,,R17/R16*1000)</f>
        <v>58690.90243219372</v>
      </c>
      <c r="S18" s="46"/>
    </row>
    <row r="19" spans="1:19" s="17" customFormat="1" ht="16.5" customHeight="1">
      <c r="A19" s="110" t="s">
        <v>45</v>
      </c>
      <c r="B19" s="30" t="s">
        <v>9</v>
      </c>
      <c r="C19" s="34" t="s">
        <v>1</v>
      </c>
      <c r="D19" s="83">
        <v>32014</v>
      </c>
      <c r="E19" s="51">
        <v>16145</v>
      </c>
      <c r="F19" s="51">
        <v>48836</v>
      </c>
      <c r="G19" s="51">
        <v>55802</v>
      </c>
      <c r="H19" s="51">
        <v>51122</v>
      </c>
      <c r="I19" s="80">
        <v>35614</v>
      </c>
      <c r="J19" s="68">
        <f>SUM(D19:I19)</f>
        <v>239533</v>
      </c>
      <c r="K19" s="80">
        <v>45541</v>
      </c>
      <c r="L19" s="51">
        <v>57842</v>
      </c>
      <c r="M19" s="51">
        <v>61344</v>
      </c>
      <c r="N19" s="51">
        <v>78286</v>
      </c>
      <c r="O19" s="51">
        <v>16356</v>
      </c>
      <c r="P19" s="80">
        <v>47343</v>
      </c>
      <c r="Q19" s="68">
        <f>SUM(K19:P19)</f>
        <v>306712</v>
      </c>
      <c r="R19" s="64">
        <f>J19+Q19</f>
        <v>546245</v>
      </c>
      <c r="S19" s="16"/>
    </row>
    <row r="20" spans="1:19" s="17" customFormat="1" ht="16.5" customHeight="1">
      <c r="A20" s="111"/>
      <c r="B20" s="30" t="s">
        <v>10</v>
      </c>
      <c r="C20" s="34" t="s">
        <v>2</v>
      </c>
      <c r="D20" s="83">
        <v>1448455</v>
      </c>
      <c r="E20" s="51">
        <v>692301</v>
      </c>
      <c r="F20" s="51">
        <v>2219124</v>
      </c>
      <c r="G20" s="51">
        <v>2427602</v>
      </c>
      <c r="H20" s="51">
        <v>2514713</v>
      </c>
      <c r="I20" s="80">
        <v>1911560</v>
      </c>
      <c r="J20" s="68">
        <f>SUM(D20:I20)</f>
        <v>11213755</v>
      </c>
      <c r="K20" s="81">
        <v>2493491</v>
      </c>
      <c r="L20" s="53">
        <v>3063552</v>
      </c>
      <c r="M20" s="53">
        <v>3439478</v>
      </c>
      <c r="N20" s="53">
        <v>4856895</v>
      </c>
      <c r="O20" s="53">
        <v>1045427</v>
      </c>
      <c r="P20" s="81">
        <v>3084389</v>
      </c>
      <c r="Q20" s="68">
        <f>SUM(K20:P20)</f>
        <v>17983232</v>
      </c>
      <c r="R20" s="64">
        <f>J20+Q20</f>
        <v>29196987</v>
      </c>
      <c r="S20" s="16"/>
    </row>
    <row r="21" spans="1:19" s="17" customFormat="1" ht="16.5" customHeight="1" thickBot="1">
      <c r="A21" s="112"/>
      <c r="B21" s="18" t="s">
        <v>42</v>
      </c>
      <c r="C21" s="35" t="s">
        <v>3</v>
      </c>
      <c r="D21" s="84">
        <f aca="true" t="shared" si="10" ref="D21:I21">IF(D19=0,,D20/D19*1000)</f>
        <v>45244.42431436247</v>
      </c>
      <c r="E21" s="52">
        <f t="shared" si="10"/>
        <v>42880.2105915144</v>
      </c>
      <c r="F21" s="52">
        <f t="shared" si="10"/>
        <v>45440.330903431895</v>
      </c>
      <c r="G21" s="52">
        <f t="shared" si="10"/>
        <v>43503.8529084979</v>
      </c>
      <c r="H21" s="52">
        <f t="shared" si="10"/>
        <v>49190.42682211181</v>
      </c>
      <c r="I21" s="82">
        <f t="shared" si="10"/>
        <v>53674.39770876621</v>
      </c>
      <c r="J21" s="69">
        <f aca="true" t="shared" si="11" ref="J21:P21">IF(J19=0,,J20/J19*1000)</f>
        <v>46815.07349717993</v>
      </c>
      <c r="K21" s="82">
        <f t="shared" si="11"/>
        <v>54752.662436046645</v>
      </c>
      <c r="L21" s="52">
        <f t="shared" si="11"/>
        <v>52964.143701808374</v>
      </c>
      <c r="M21" s="52">
        <f t="shared" si="11"/>
        <v>56068.69457485654</v>
      </c>
      <c r="N21" s="52">
        <f t="shared" si="11"/>
        <v>62040.40313721483</v>
      </c>
      <c r="O21" s="52">
        <f t="shared" si="11"/>
        <v>63917.033504524334</v>
      </c>
      <c r="P21" s="82">
        <f t="shared" si="11"/>
        <v>65149.84263777116</v>
      </c>
      <c r="Q21" s="69">
        <f>IF(Q19=0,,Q20/Q19*1000)</f>
        <v>58632.306528600115</v>
      </c>
      <c r="R21" s="65">
        <f>IF(R19=0,,R20/R19*1000)</f>
        <v>53450.3510329614</v>
      </c>
      <c r="S21" s="46"/>
    </row>
    <row r="22" spans="1:19" s="17" customFormat="1" ht="16.5" customHeight="1">
      <c r="A22" s="101" t="s">
        <v>53</v>
      </c>
      <c r="B22" s="30" t="s">
        <v>9</v>
      </c>
      <c r="C22" s="34" t="s">
        <v>1</v>
      </c>
      <c r="D22" s="83">
        <v>10321</v>
      </c>
      <c r="E22" s="51">
        <v>32123</v>
      </c>
      <c r="F22" s="51">
        <v>9889</v>
      </c>
      <c r="G22" s="51">
        <v>36133</v>
      </c>
      <c r="H22" s="51">
        <v>56717</v>
      </c>
      <c r="I22" s="80">
        <v>32569</v>
      </c>
      <c r="J22" s="68">
        <f>SUM(D22:I22)</f>
        <v>177752</v>
      </c>
      <c r="K22" s="80">
        <v>31126</v>
      </c>
      <c r="L22" s="51">
        <v>37141</v>
      </c>
      <c r="M22" s="51">
        <v>52129</v>
      </c>
      <c r="N22" s="51">
        <v>30908</v>
      </c>
      <c r="O22" s="51">
        <v>42570</v>
      </c>
      <c r="P22" s="80">
        <v>40498</v>
      </c>
      <c r="Q22" s="68">
        <f>SUM(K22:P22)</f>
        <v>234372</v>
      </c>
      <c r="R22" s="64">
        <f>J22+Q22</f>
        <v>412124</v>
      </c>
      <c r="S22" s="16"/>
    </row>
    <row r="23" spans="1:19" s="17" customFormat="1" ht="16.5" customHeight="1">
      <c r="A23" s="102"/>
      <c r="B23" s="30" t="s">
        <v>10</v>
      </c>
      <c r="C23" s="34" t="s">
        <v>2</v>
      </c>
      <c r="D23" s="83">
        <v>495246</v>
      </c>
      <c r="E23" s="51">
        <v>1473067</v>
      </c>
      <c r="F23" s="51">
        <v>394900</v>
      </c>
      <c r="G23" s="51">
        <v>1771244</v>
      </c>
      <c r="H23" s="51">
        <v>3237311</v>
      </c>
      <c r="I23" s="80">
        <v>1774948</v>
      </c>
      <c r="J23" s="68">
        <f>SUM(D23:I23)</f>
        <v>9146716</v>
      </c>
      <c r="K23" s="81">
        <v>1782158</v>
      </c>
      <c r="L23" s="53">
        <v>2099452</v>
      </c>
      <c r="M23" s="53">
        <v>3084838</v>
      </c>
      <c r="N23" s="53">
        <v>2175665</v>
      </c>
      <c r="O23" s="53">
        <v>2985404</v>
      </c>
      <c r="P23" s="81">
        <v>2750047</v>
      </c>
      <c r="Q23" s="68">
        <f>SUM(K23:P23)</f>
        <v>14877564</v>
      </c>
      <c r="R23" s="64">
        <f>J23+Q23</f>
        <v>24024280</v>
      </c>
      <c r="S23" s="16"/>
    </row>
    <row r="24" spans="1:19" s="17" customFormat="1" ht="16.5" customHeight="1" thickBot="1">
      <c r="A24" s="103"/>
      <c r="B24" s="18" t="s">
        <v>42</v>
      </c>
      <c r="C24" s="35" t="s">
        <v>3</v>
      </c>
      <c r="D24" s="84">
        <f aca="true" t="shared" si="12" ref="D24:I24">IF(D22=0,,D23/D22*1000)</f>
        <v>47984.3038465265</v>
      </c>
      <c r="E24" s="52">
        <f t="shared" si="12"/>
        <v>45857.08059645737</v>
      </c>
      <c r="F24" s="52">
        <f t="shared" si="12"/>
        <v>39933.25917686318</v>
      </c>
      <c r="G24" s="52">
        <f t="shared" si="12"/>
        <v>49020.12011180915</v>
      </c>
      <c r="H24" s="52">
        <f t="shared" si="12"/>
        <v>57078.31866988734</v>
      </c>
      <c r="I24" s="82">
        <f t="shared" si="12"/>
        <v>54498.08099726734</v>
      </c>
      <c r="J24" s="69">
        <f aca="true" t="shared" si="13" ref="J24:P24">IF(J22=0,,J23/J22*1000)</f>
        <v>51457.73887213646</v>
      </c>
      <c r="K24" s="82">
        <f t="shared" si="13"/>
        <v>57256.24879521943</v>
      </c>
      <c r="L24" s="52">
        <f t="shared" si="13"/>
        <v>56526.53401900864</v>
      </c>
      <c r="M24" s="52">
        <f t="shared" si="13"/>
        <v>59177.00320359109</v>
      </c>
      <c r="N24" s="52">
        <f t="shared" si="13"/>
        <v>70391.64617574739</v>
      </c>
      <c r="O24" s="52">
        <f t="shared" si="13"/>
        <v>70129.29292929293</v>
      </c>
      <c r="P24" s="82">
        <f t="shared" si="13"/>
        <v>67905.74843202134</v>
      </c>
      <c r="Q24" s="69">
        <f>IF(Q22=0,,Q23/Q22*1000)</f>
        <v>63478.41892376223</v>
      </c>
      <c r="R24" s="65">
        <f>IF(R22=0,,R23/R22*1000)</f>
        <v>58293.814483019676</v>
      </c>
      <c r="S24" s="46"/>
    </row>
    <row r="25" spans="1:19" s="17" customFormat="1" ht="16.5" customHeight="1">
      <c r="A25" s="101" t="s">
        <v>54</v>
      </c>
      <c r="B25" s="30" t="s">
        <v>9</v>
      </c>
      <c r="C25" s="34" t="s">
        <v>1</v>
      </c>
      <c r="D25" s="83"/>
      <c r="E25" s="51"/>
      <c r="F25" s="51"/>
      <c r="G25" s="51"/>
      <c r="H25" s="51"/>
      <c r="I25" s="80"/>
      <c r="J25" s="68">
        <f>SUM(D25:I25)</f>
        <v>0</v>
      </c>
      <c r="K25" s="80"/>
      <c r="L25" s="51"/>
      <c r="M25" s="51"/>
      <c r="N25" s="51"/>
      <c r="O25" s="51"/>
      <c r="P25" s="80"/>
      <c r="Q25" s="68">
        <f>SUM(K25:P25)</f>
        <v>0</v>
      </c>
      <c r="R25" s="64">
        <f>J25+Q25</f>
        <v>0</v>
      </c>
      <c r="S25" s="16"/>
    </row>
    <row r="26" spans="1:19" s="17" customFormat="1" ht="16.5" customHeight="1">
      <c r="A26" s="102"/>
      <c r="B26" s="30" t="s">
        <v>10</v>
      </c>
      <c r="C26" s="34" t="s">
        <v>2</v>
      </c>
      <c r="D26" s="83"/>
      <c r="E26" s="51"/>
      <c r="F26" s="51"/>
      <c r="G26" s="51"/>
      <c r="H26" s="51"/>
      <c r="I26" s="80"/>
      <c r="J26" s="68">
        <f>SUM(D26:I26)</f>
        <v>0</v>
      </c>
      <c r="K26" s="81"/>
      <c r="L26" s="53"/>
      <c r="M26" s="53"/>
      <c r="N26" s="53"/>
      <c r="O26" s="53"/>
      <c r="P26" s="81"/>
      <c r="Q26" s="68">
        <f>SUM(K26:P26)</f>
        <v>0</v>
      </c>
      <c r="R26" s="64">
        <f>J26+Q26</f>
        <v>0</v>
      </c>
      <c r="S26" s="16"/>
    </row>
    <row r="27" spans="1:19" s="17" customFormat="1" ht="16.5" customHeight="1" thickBot="1">
      <c r="A27" s="103"/>
      <c r="B27" s="18" t="s">
        <v>42</v>
      </c>
      <c r="C27" s="35" t="s">
        <v>3</v>
      </c>
      <c r="D27" s="84">
        <f aca="true" t="shared" si="14" ref="D27:I27">IF(D25=0,,D26/D25*1000)</f>
        <v>0</v>
      </c>
      <c r="E27" s="52">
        <f t="shared" si="14"/>
        <v>0</v>
      </c>
      <c r="F27" s="52">
        <f t="shared" si="14"/>
        <v>0</v>
      </c>
      <c r="G27" s="52">
        <f t="shared" si="14"/>
        <v>0</v>
      </c>
      <c r="H27" s="52">
        <f t="shared" si="14"/>
        <v>0</v>
      </c>
      <c r="I27" s="82">
        <f t="shared" si="14"/>
        <v>0</v>
      </c>
      <c r="J27" s="69">
        <f aca="true" t="shared" si="15" ref="J27:P27">IF(J25=0,,J26/J25*1000)</f>
        <v>0</v>
      </c>
      <c r="K27" s="82">
        <f t="shared" si="15"/>
        <v>0</v>
      </c>
      <c r="L27" s="52">
        <f t="shared" si="15"/>
        <v>0</v>
      </c>
      <c r="M27" s="52">
        <f t="shared" si="15"/>
        <v>0</v>
      </c>
      <c r="N27" s="52">
        <f t="shared" si="15"/>
        <v>0</v>
      </c>
      <c r="O27" s="52">
        <f t="shared" si="15"/>
        <v>0</v>
      </c>
      <c r="P27" s="82">
        <f t="shared" si="15"/>
        <v>0</v>
      </c>
      <c r="Q27" s="69">
        <f>IF(Q25=0,,Q26/Q25*1000)</f>
        <v>0</v>
      </c>
      <c r="R27" s="65">
        <f>IF(R25=0,,R26/R25*1000)</f>
        <v>0</v>
      </c>
      <c r="S27" s="46"/>
    </row>
    <row r="28" spans="1:19" s="17" customFormat="1" ht="16.5" customHeight="1">
      <c r="A28" s="101" t="s">
        <v>11</v>
      </c>
      <c r="B28" s="30" t="s">
        <v>9</v>
      </c>
      <c r="C28" s="34" t="s">
        <v>1</v>
      </c>
      <c r="D28" s="83">
        <v>682</v>
      </c>
      <c r="E28" s="51">
        <v>481</v>
      </c>
      <c r="F28" s="51">
        <v>540</v>
      </c>
      <c r="G28" s="51">
        <v>551</v>
      </c>
      <c r="H28" s="51">
        <v>920</v>
      </c>
      <c r="I28" s="80">
        <v>1044</v>
      </c>
      <c r="J28" s="68">
        <f>SUM(D28:I28)</f>
        <v>4218</v>
      </c>
      <c r="K28" s="80">
        <v>1703</v>
      </c>
      <c r="L28" s="51">
        <v>2157</v>
      </c>
      <c r="M28" s="51">
        <v>2830</v>
      </c>
      <c r="N28" s="51">
        <v>1115</v>
      </c>
      <c r="O28" s="51">
        <v>708</v>
      </c>
      <c r="P28" s="80">
        <v>711</v>
      </c>
      <c r="Q28" s="68">
        <f>SUM(K28:P28)</f>
        <v>9224</v>
      </c>
      <c r="R28" s="64">
        <f>J28+Q28</f>
        <v>13442</v>
      </c>
      <c r="S28" s="16"/>
    </row>
    <row r="29" spans="1:19" s="17" customFormat="1" ht="16.5" customHeight="1">
      <c r="A29" s="102"/>
      <c r="B29" s="30" t="s">
        <v>10</v>
      </c>
      <c r="C29" s="34" t="s">
        <v>2</v>
      </c>
      <c r="D29" s="83">
        <v>174645</v>
      </c>
      <c r="E29" s="51">
        <v>124223</v>
      </c>
      <c r="F29" s="51">
        <v>140723</v>
      </c>
      <c r="G29" s="51">
        <v>139695</v>
      </c>
      <c r="H29" s="51">
        <v>229925</v>
      </c>
      <c r="I29" s="80">
        <v>258581</v>
      </c>
      <c r="J29" s="68">
        <f>SUM(D29:I29)</f>
        <v>1067792</v>
      </c>
      <c r="K29" s="81">
        <v>420506</v>
      </c>
      <c r="L29" s="53">
        <v>530963</v>
      </c>
      <c r="M29" s="53">
        <v>689418</v>
      </c>
      <c r="N29" s="53">
        <v>268627</v>
      </c>
      <c r="O29" s="53">
        <v>174598</v>
      </c>
      <c r="P29" s="81">
        <v>171815</v>
      </c>
      <c r="Q29" s="68">
        <f>SUM(K29:P29)</f>
        <v>2255927</v>
      </c>
      <c r="R29" s="64">
        <f>J29+Q29</f>
        <v>3323719</v>
      </c>
      <c r="S29" s="16"/>
    </row>
    <row r="30" spans="1:19" s="17" customFormat="1" ht="16.5" customHeight="1" thickBot="1">
      <c r="A30" s="103"/>
      <c r="B30" s="18" t="s">
        <v>42</v>
      </c>
      <c r="C30" s="35" t="s">
        <v>3</v>
      </c>
      <c r="D30" s="84">
        <f aca="true" t="shared" si="16" ref="D30:I30">IF(D28=0,,D29/D28*1000)</f>
        <v>256077.71260997065</v>
      </c>
      <c r="E30" s="52">
        <f t="shared" si="16"/>
        <v>258259.8752598753</v>
      </c>
      <c r="F30" s="52">
        <f t="shared" si="16"/>
        <v>260598.14814814815</v>
      </c>
      <c r="G30" s="52">
        <f t="shared" si="16"/>
        <v>253529.94555353903</v>
      </c>
      <c r="H30" s="52">
        <f t="shared" si="16"/>
        <v>249918.47826086957</v>
      </c>
      <c r="I30" s="82">
        <f t="shared" si="16"/>
        <v>247682.95019157088</v>
      </c>
      <c r="J30" s="69">
        <f aca="true" t="shared" si="17" ref="J30:P30">IF(J28=0,,J29/J28*1000)</f>
        <v>253151.25651967755</v>
      </c>
      <c r="K30" s="82">
        <f t="shared" si="17"/>
        <v>246920.728126835</v>
      </c>
      <c r="L30" s="52">
        <f t="shared" si="17"/>
        <v>246158.0899397311</v>
      </c>
      <c r="M30" s="52">
        <f t="shared" si="17"/>
        <v>243610.60070671377</v>
      </c>
      <c r="N30" s="52">
        <f t="shared" si="17"/>
        <v>240921.07623318388</v>
      </c>
      <c r="O30" s="52">
        <f t="shared" si="17"/>
        <v>246607.34463276836</v>
      </c>
      <c r="P30" s="82">
        <f t="shared" si="17"/>
        <v>241652.60196905766</v>
      </c>
      <c r="Q30" s="69">
        <f>IF(Q28=0,,Q29/Q28*1000)</f>
        <v>244571.4440589766</v>
      </c>
      <c r="R30" s="65">
        <f>IF(R28=0,,R29/R28*1000)</f>
        <v>247263.72563606605</v>
      </c>
      <c r="S30" s="46"/>
    </row>
    <row r="31" spans="1:19" s="17" customFormat="1" ht="16.5" customHeight="1">
      <c r="A31" s="101" t="s">
        <v>55</v>
      </c>
      <c r="B31" s="30" t="s">
        <v>9</v>
      </c>
      <c r="C31" s="34" t="s">
        <v>1</v>
      </c>
      <c r="D31" s="83"/>
      <c r="E31" s="51"/>
      <c r="F31" s="51"/>
      <c r="G31" s="51"/>
      <c r="H31" s="51"/>
      <c r="I31" s="80"/>
      <c r="J31" s="68">
        <f>SUM(D31:I31)</f>
        <v>0</v>
      </c>
      <c r="K31" s="80"/>
      <c r="L31" s="51"/>
      <c r="M31" s="51"/>
      <c r="N31" s="51"/>
      <c r="O31" s="51"/>
      <c r="P31" s="80"/>
      <c r="Q31" s="68">
        <f>SUM(K31:P31)</f>
        <v>0</v>
      </c>
      <c r="R31" s="64">
        <f>J31+Q31</f>
        <v>0</v>
      </c>
      <c r="S31" s="16"/>
    </row>
    <row r="32" spans="1:19" s="17" customFormat="1" ht="16.5" customHeight="1">
      <c r="A32" s="102"/>
      <c r="B32" s="30" t="s">
        <v>10</v>
      </c>
      <c r="C32" s="34" t="s">
        <v>2</v>
      </c>
      <c r="D32" s="83"/>
      <c r="E32" s="51"/>
      <c r="F32" s="51"/>
      <c r="G32" s="51"/>
      <c r="H32" s="51"/>
      <c r="I32" s="80"/>
      <c r="J32" s="70">
        <f>SUM(D32:I32)</f>
        <v>0</v>
      </c>
      <c r="K32" s="81"/>
      <c r="L32" s="53"/>
      <c r="M32" s="53"/>
      <c r="N32" s="53"/>
      <c r="O32" s="53"/>
      <c r="P32" s="81"/>
      <c r="Q32" s="70">
        <f>SUM(K32:P32)</f>
        <v>0</v>
      </c>
      <c r="R32" s="66">
        <f>J32+Q32</f>
        <v>0</v>
      </c>
      <c r="S32" s="16"/>
    </row>
    <row r="33" spans="1:19" s="17" customFormat="1" ht="16.5" customHeight="1" thickBot="1">
      <c r="A33" s="103"/>
      <c r="B33" s="18" t="s">
        <v>42</v>
      </c>
      <c r="C33" s="35" t="s">
        <v>3</v>
      </c>
      <c r="D33" s="84">
        <f aca="true" t="shared" si="18" ref="D33:I33">IF(D31=0,,D32/D31*1000)</f>
        <v>0</v>
      </c>
      <c r="E33" s="52">
        <f t="shared" si="18"/>
        <v>0</v>
      </c>
      <c r="F33" s="52">
        <f t="shared" si="18"/>
        <v>0</v>
      </c>
      <c r="G33" s="52">
        <f t="shared" si="18"/>
        <v>0</v>
      </c>
      <c r="H33" s="52">
        <f t="shared" si="18"/>
        <v>0</v>
      </c>
      <c r="I33" s="82">
        <f t="shared" si="18"/>
        <v>0</v>
      </c>
      <c r="J33" s="69">
        <f aca="true" t="shared" si="19" ref="J33:R33">IF(J31=0,,J32/J31*1000)</f>
        <v>0</v>
      </c>
      <c r="K33" s="82">
        <f t="shared" si="19"/>
        <v>0</v>
      </c>
      <c r="L33" s="52">
        <f t="shared" si="19"/>
        <v>0</v>
      </c>
      <c r="M33" s="52">
        <f t="shared" si="19"/>
        <v>0</v>
      </c>
      <c r="N33" s="52">
        <f t="shared" si="19"/>
        <v>0</v>
      </c>
      <c r="O33" s="52">
        <f t="shared" si="19"/>
        <v>0</v>
      </c>
      <c r="P33" s="82">
        <f t="shared" si="19"/>
        <v>0</v>
      </c>
      <c r="Q33" s="69">
        <f t="shared" si="19"/>
        <v>0</v>
      </c>
      <c r="R33" s="65">
        <f t="shared" si="19"/>
        <v>0</v>
      </c>
      <c r="S33" s="46"/>
    </row>
    <row r="34" spans="1:19" s="17" customFormat="1" ht="16.5" customHeight="1">
      <c r="A34" s="101" t="s">
        <v>56</v>
      </c>
      <c r="B34" s="30" t="s">
        <v>9</v>
      </c>
      <c r="C34" s="34" t="s">
        <v>1</v>
      </c>
      <c r="D34" s="83"/>
      <c r="E34" s="51">
        <v>0</v>
      </c>
      <c r="F34" s="51"/>
      <c r="G34" s="51"/>
      <c r="H34" s="51"/>
      <c r="I34" s="80"/>
      <c r="J34" s="68">
        <f>SUM(D34:I34)</f>
        <v>0</v>
      </c>
      <c r="K34" s="80"/>
      <c r="L34" s="51"/>
      <c r="M34" s="51"/>
      <c r="N34" s="51">
        <v>3000</v>
      </c>
      <c r="O34" s="51"/>
      <c r="P34" s="80"/>
      <c r="Q34" s="68">
        <f>SUM(K34:P34)</f>
        <v>3000</v>
      </c>
      <c r="R34" s="64">
        <f>J34+Q34</f>
        <v>3000</v>
      </c>
      <c r="S34" s="16"/>
    </row>
    <row r="35" spans="1:19" s="17" customFormat="1" ht="16.5" customHeight="1">
      <c r="A35" s="102"/>
      <c r="B35" s="30" t="s">
        <v>10</v>
      </c>
      <c r="C35" s="34" t="s">
        <v>2</v>
      </c>
      <c r="D35" s="83"/>
      <c r="E35" s="51">
        <v>0</v>
      </c>
      <c r="F35" s="51"/>
      <c r="G35" s="51"/>
      <c r="H35" s="51"/>
      <c r="I35" s="80"/>
      <c r="J35" s="68">
        <f>SUM(D35:I35)</f>
        <v>0</v>
      </c>
      <c r="K35" s="81"/>
      <c r="L35" s="53"/>
      <c r="M35" s="53"/>
      <c r="N35" s="53">
        <v>210639</v>
      </c>
      <c r="O35" s="53"/>
      <c r="P35" s="81"/>
      <c r="Q35" s="68">
        <f>SUM(K35:P35)</f>
        <v>210639</v>
      </c>
      <c r="R35" s="64">
        <f>J35+Q35</f>
        <v>210639</v>
      </c>
      <c r="S35" s="16"/>
    </row>
    <row r="36" spans="1:19" s="17" customFormat="1" ht="16.5" customHeight="1" thickBot="1">
      <c r="A36" s="103"/>
      <c r="B36" s="18" t="s">
        <v>42</v>
      </c>
      <c r="C36" s="35" t="s">
        <v>3</v>
      </c>
      <c r="D36" s="84">
        <f aca="true" t="shared" si="20" ref="D36:I36">IF(D34=0,,D35/D34*1000)</f>
        <v>0</v>
      </c>
      <c r="E36" s="52">
        <f t="shared" si="20"/>
        <v>0</v>
      </c>
      <c r="F36" s="52">
        <f t="shared" si="20"/>
        <v>0</v>
      </c>
      <c r="G36" s="52">
        <f t="shared" si="20"/>
        <v>0</v>
      </c>
      <c r="H36" s="52">
        <f t="shared" si="20"/>
        <v>0</v>
      </c>
      <c r="I36" s="82">
        <f t="shared" si="20"/>
        <v>0</v>
      </c>
      <c r="J36" s="69">
        <f aca="true" t="shared" si="21" ref="J36:P36">IF(J34=0,,J35/J34*1000)</f>
        <v>0</v>
      </c>
      <c r="K36" s="82">
        <f t="shared" si="21"/>
        <v>0</v>
      </c>
      <c r="L36" s="52">
        <f t="shared" si="21"/>
        <v>0</v>
      </c>
      <c r="M36" s="52">
        <f t="shared" si="21"/>
        <v>0</v>
      </c>
      <c r="N36" s="52">
        <f t="shared" si="21"/>
        <v>70213</v>
      </c>
      <c r="O36" s="52">
        <f t="shared" si="21"/>
        <v>0</v>
      </c>
      <c r="P36" s="82">
        <f t="shared" si="21"/>
        <v>0</v>
      </c>
      <c r="Q36" s="69">
        <f>IF(Q34=0,,Q35/Q34*1000)</f>
        <v>70213</v>
      </c>
      <c r="R36" s="65">
        <f>IF(R34=0,,R35/R34*1000)</f>
        <v>70213</v>
      </c>
      <c r="S36" s="46"/>
    </row>
    <row r="37" spans="1:19" s="17" customFormat="1" ht="16.5" customHeight="1">
      <c r="A37" s="101" t="s">
        <v>12</v>
      </c>
      <c r="B37" s="30" t="s">
        <v>9</v>
      </c>
      <c r="C37" s="34" t="s">
        <v>1</v>
      </c>
      <c r="D37" s="83">
        <f>48</f>
        <v>48</v>
      </c>
      <c r="E37" s="51">
        <v>48</v>
      </c>
      <c r="F37" s="51">
        <f>60+11511</f>
        <v>11571</v>
      </c>
      <c r="G37" s="51">
        <v>72</v>
      </c>
      <c r="H37" s="51">
        <f>60</f>
        <v>60</v>
      </c>
      <c r="I37" s="80">
        <f>21047</f>
        <v>21047</v>
      </c>
      <c r="J37" s="71">
        <f>SUM(D37:I37)</f>
        <v>32846</v>
      </c>
      <c r="K37" s="80">
        <f>112+4</f>
        <v>116</v>
      </c>
      <c r="L37" s="51">
        <f>304+8441</f>
        <v>8745</v>
      </c>
      <c r="M37" s="51">
        <v>329</v>
      </c>
      <c r="N37" s="51">
        <v>159</v>
      </c>
      <c r="O37" s="51">
        <f>84+11737</f>
        <v>11821</v>
      </c>
      <c r="P37" s="80">
        <f>84</f>
        <v>84</v>
      </c>
      <c r="Q37" s="71">
        <f>SUM(K37:P37)</f>
        <v>21254</v>
      </c>
      <c r="R37" s="67">
        <f>J37+Q37</f>
        <v>54100</v>
      </c>
      <c r="S37" s="16"/>
    </row>
    <row r="38" spans="1:19" s="17" customFormat="1" ht="16.5" customHeight="1">
      <c r="A38" s="102"/>
      <c r="B38" s="30" t="s">
        <v>10</v>
      </c>
      <c r="C38" s="34" t="s">
        <v>2</v>
      </c>
      <c r="D38" s="83">
        <f>14628+2642</f>
        <v>17270</v>
      </c>
      <c r="E38" s="51">
        <f>14744+4312</f>
        <v>19056</v>
      </c>
      <c r="F38" s="51">
        <f>17005+553614+6528+1177</f>
        <v>578324</v>
      </c>
      <c r="G38" s="51">
        <f>20688+5439</f>
        <v>26127</v>
      </c>
      <c r="H38" s="51">
        <f>17630+5724</f>
        <v>23354</v>
      </c>
      <c r="I38" s="80">
        <f>4641+924570</f>
        <v>929211</v>
      </c>
      <c r="J38" s="70">
        <f>SUM(D38:I38)</f>
        <v>1593342</v>
      </c>
      <c r="K38" s="81">
        <f>28698+8693</f>
        <v>37391</v>
      </c>
      <c r="L38" s="53">
        <f>74836+6530+440304</f>
        <v>521670</v>
      </c>
      <c r="M38" s="53">
        <f>79551+2892+1094</f>
        <v>83537</v>
      </c>
      <c r="N38" s="53">
        <f>41265+287+345</f>
        <v>41897</v>
      </c>
      <c r="O38" s="53">
        <f>21419+686417+7465</f>
        <v>715301</v>
      </c>
      <c r="P38" s="81">
        <f>21545+1893+9983+397</f>
        <v>33818</v>
      </c>
      <c r="Q38" s="70">
        <f>SUM(K38:P38)</f>
        <v>1433614</v>
      </c>
      <c r="R38" s="66">
        <f>J38+Q38</f>
        <v>3026956</v>
      </c>
      <c r="S38" s="16"/>
    </row>
    <row r="39" spans="1:19" s="17" customFormat="1" ht="16.5" customHeight="1" thickBot="1">
      <c r="A39" s="103"/>
      <c r="B39" s="18" t="s">
        <v>42</v>
      </c>
      <c r="C39" s="35" t="s">
        <v>3</v>
      </c>
      <c r="D39" s="84">
        <f aca="true" t="shared" si="22" ref="D39:I39">IF(D37=0,,D38/D37*1000)</f>
        <v>359791.6666666667</v>
      </c>
      <c r="E39" s="52">
        <f t="shared" si="22"/>
        <v>397000</v>
      </c>
      <c r="F39" s="52">
        <f t="shared" si="22"/>
        <v>49980.46841241034</v>
      </c>
      <c r="G39" s="52">
        <f t="shared" si="22"/>
        <v>362875</v>
      </c>
      <c r="H39" s="52">
        <f t="shared" si="22"/>
        <v>389233.3333333334</v>
      </c>
      <c r="I39" s="82">
        <f t="shared" si="22"/>
        <v>44149.33244642942</v>
      </c>
      <c r="J39" s="69">
        <f aca="true" t="shared" si="23" ref="J39:P39">IF(J37=0,,J38/J37*1000)</f>
        <v>48509.468428423555</v>
      </c>
      <c r="K39" s="82">
        <f t="shared" si="23"/>
        <v>322336.20689655177</v>
      </c>
      <c r="L39" s="52">
        <f t="shared" si="23"/>
        <v>59653.51629502573</v>
      </c>
      <c r="M39" s="52">
        <f t="shared" si="23"/>
        <v>253911.85410334347</v>
      </c>
      <c r="N39" s="52">
        <f t="shared" si="23"/>
        <v>263503.144654088</v>
      </c>
      <c r="O39" s="52">
        <f t="shared" si="23"/>
        <v>60511.03967515439</v>
      </c>
      <c r="P39" s="82">
        <f t="shared" si="23"/>
        <v>402595.23809523805</v>
      </c>
      <c r="Q39" s="69">
        <f>IF(Q37=0,,Q38/Q37*1000)</f>
        <v>67451.49148395596</v>
      </c>
      <c r="R39" s="65">
        <f>IF(R37=0,,R38/R37*1000)</f>
        <v>55951.12754158965</v>
      </c>
      <c r="S39" s="46"/>
    </row>
    <row r="40" spans="1:19" s="17" customFormat="1" ht="16.5" customHeight="1">
      <c r="A40" s="101" t="s">
        <v>4</v>
      </c>
      <c r="B40" s="30" t="s">
        <v>9</v>
      </c>
      <c r="C40" s="34" t="s">
        <v>1</v>
      </c>
      <c r="D40" s="59">
        <f aca="true" t="shared" si="24" ref="D40:I41">D4+D7+D10+D13+D16+D19+D22+D25+D28+D31+D34+D37</f>
        <v>106564</v>
      </c>
      <c r="E40" s="51">
        <f t="shared" si="24"/>
        <v>88173</v>
      </c>
      <c r="F40" s="54">
        <f t="shared" si="24"/>
        <v>185775</v>
      </c>
      <c r="G40" s="54">
        <f t="shared" si="24"/>
        <v>137598</v>
      </c>
      <c r="H40" s="51">
        <f t="shared" si="24"/>
        <v>155467</v>
      </c>
      <c r="I40" s="63">
        <f t="shared" si="24"/>
        <v>162715</v>
      </c>
      <c r="J40" s="71">
        <f>SUM(D40:I40)</f>
        <v>836292</v>
      </c>
      <c r="K40" s="67">
        <f aca="true" t="shared" si="25" ref="K40:P41">K4+K7+K10+K13+K16+K19+K22+K25+K28+K31+K34+K37</f>
        <v>169520</v>
      </c>
      <c r="L40" s="54">
        <f t="shared" si="25"/>
        <v>248625</v>
      </c>
      <c r="M40" s="51">
        <f t="shared" si="25"/>
        <v>248919</v>
      </c>
      <c r="N40" s="54">
        <f t="shared" si="25"/>
        <v>207955</v>
      </c>
      <c r="O40" s="54">
        <f t="shared" si="25"/>
        <v>142939</v>
      </c>
      <c r="P40" s="63">
        <f t="shared" si="25"/>
        <v>231347</v>
      </c>
      <c r="Q40" s="71">
        <f>SUM(K40:P40)</f>
        <v>1249305</v>
      </c>
      <c r="R40" s="67">
        <f>J40+Q40</f>
        <v>2085597</v>
      </c>
      <c r="S40" s="16"/>
    </row>
    <row r="41" spans="1:19" s="17" customFormat="1" ht="16.5" customHeight="1">
      <c r="A41" s="102"/>
      <c r="B41" s="30" t="s">
        <v>10</v>
      </c>
      <c r="C41" s="34" t="s">
        <v>2</v>
      </c>
      <c r="D41" s="58">
        <f t="shared" si="24"/>
        <v>5247208</v>
      </c>
      <c r="E41" s="51">
        <f t="shared" si="24"/>
        <v>3962565</v>
      </c>
      <c r="F41" s="53">
        <f t="shared" si="24"/>
        <v>8404942</v>
      </c>
      <c r="G41" s="53">
        <f t="shared" si="24"/>
        <v>6743072</v>
      </c>
      <c r="H41" s="51">
        <f t="shared" si="24"/>
        <v>8582243</v>
      </c>
      <c r="I41" s="62">
        <f>I5+I8+I11+I14+I17+I20+I23+I26+I29+I32+I35+I38</f>
        <v>9012488</v>
      </c>
      <c r="J41" s="70">
        <f>SUM(D41:I41)</f>
        <v>41952518</v>
      </c>
      <c r="K41" s="66">
        <f aca="true" t="shared" si="26" ref="K41:P41">K5+K8+K11+K14+K17+K20+K23+K26+K29+K32+K35+K38</f>
        <v>9786707</v>
      </c>
      <c r="L41" s="53">
        <f t="shared" si="26"/>
        <v>14747816</v>
      </c>
      <c r="M41" s="53">
        <f t="shared" si="25"/>
        <v>15343606</v>
      </c>
      <c r="N41" s="53">
        <f t="shared" si="26"/>
        <v>13955523</v>
      </c>
      <c r="O41" s="53">
        <f t="shared" si="26"/>
        <v>9424552</v>
      </c>
      <c r="P41" s="62">
        <f t="shared" si="26"/>
        <v>15268770</v>
      </c>
      <c r="Q41" s="70">
        <f>SUM(K41:P41)</f>
        <v>78526974</v>
      </c>
      <c r="R41" s="66">
        <f>J41+Q41</f>
        <v>120479492</v>
      </c>
      <c r="S41" s="16"/>
    </row>
    <row r="42" spans="1:19" s="17" customFormat="1" ht="16.5" customHeight="1" thickBot="1">
      <c r="A42" s="103"/>
      <c r="B42" s="18" t="s">
        <v>42</v>
      </c>
      <c r="C42" s="35" t="s">
        <v>3</v>
      </c>
      <c r="D42" s="57">
        <f aca="true" t="shared" si="27" ref="D42:I42">IF(D40=0,,D41/D40*1000)</f>
        <v>49239.96846965204</v>
      </c>
      <c r="E42" s="52">
        <f t="shared" si="27"/>
        <v>44940.79820353169</v>
      </c>
      <c r="F42" s="52">
        <f t="shared" si="27"/>
        <v>45242.58915354596</v>
      </c>
      <c r="G42" s="52">
        <f t="shared" si="27"/>
        <v>49005.596011569934</v>
      </c>
      <c r="H42" s="52">
        <f t="shared" si="27"/>
        <v>55202.98841554799</v>
      </c>
      <c r="I42" s="61">
        <f t="shared" si="27"/>
        <v>55388.181790246745</v>
      </c>
      <c r="J42" s="69">
        <f aca="true" t="shared" si="28" ref="J42:R42">IF(J40=0,,J41/J40*1000)</f>
        <v>50164.91608194267</v>
      </c>
      <c r="K42" s="65">
        <f t="shared" si="28"/>
        <v>57731.87234544596</v>
      </c>
      <c r="L42" s="52">
        <f t="shared" si="28"/>
        <v>59317.510306686774</v>
      </c>
      <c r="M42" s="52">
        <f t="shared" si="28"/>
        <v>61640.95950891655</v>
      </c>
      <c r="N42" s="52">
        <f t="shared" si="28"/>
        <v>67108.37921665746</v>
      </c>
      <c r="O42" s="52">
        <f t="shared" si="28"/>
        <v>65934.0837699998</v>
      </c>
      <c r="P42" s="61">
        <f t="shared" si="28"/>
        <v>65999.4294285208</v>
      </c>
      <c r="Q42" s="69">
        <f t="shared" si="28"/>
        <v>62856.52742925066</v>
      </c>
      <c r="R42" s="65">
        <f t="shared" si="28"/>
        <v>57767.388426431375</v>
      </c>
      <c r="S42" s="46"/>
    </row>
    <row r="43" spans="1:19" s="17" customFormat="1" ht="24" customHeight="1" thickBot="1">
      <c r="A43" s="108" t="s">
        <v>13</v>
      </c>
      <c r="B43" s="109"/>
      <c r="C43" s="116"/>
      <c r="D43" s="74">
        <f>'総合計'!D43</f>
        <v>98.82</v>
      </c>
      <c r="E43" s="75">
        <f>'総合計'!E43</f>
        <v>97.81</v>
      </c>
      <c r="F43" s="75">
        <f>'総合計'!F43</f>
        <v>96.17</v>
      </c>
      <c r="G43" s="75">
        <f>'総合計'!G43</f>
        <v>95.09</v>
      </c>
      <c r="H43" s="75">
        <f>'総合計'!H43</f>
        <v>94.97</v>
      </c>
      <c r="I43" s="76">
        <f>'総合計'!I43</f>
        <v>93.05</v>
      </c>
      <c r="J43" s="77">
        <f>'総合計'!J43</f>
        <v>95.92</v>
      </c>
      <c r="K43" s="78">
        <f>'総合計'!K43</f>
        <v>89.99</v>
      </c>
      <c r="L43" s="75">
        <f>'総合計'!L43</f>
        <v>90.61</v>
      </c>
      <c r="M43" s="75">
        <f>'総合計'!M43</f>
        <v>88.33</v>
      </c>
      <c r="N43" s="75">
        <f>'総合計'!N43</f>
        <v>91.61</v>
      </c>
      <c r="O43" s="75">
        <f>'総合計'!O43</f>
        <v>90.22</v>
      </c>
      <c r="P43" s="76">
        <f>'総合計'!P43</f>
        <v>90.11</v>
      </c>
      <c r="Q43" s="77">
        <f>'総合計'!Q43</f>
        <v>90.16</v>
      </c>
      <c r="R43" s="79">
        <f>'総合計'!R43</f>
        <v>92.97</v>
      </c>
      <c r="S43" s="16"/>
    </row>
    <row r="44" ht="12.75">
      <c r="A44" s="97" t="str">
        <f>'総合計'!A53</f>
        <v>※数値はすべて確定値。</v>
      </c>
    </row>
  </sheetData>
  <mergeCells count="15">
    <mergeCell ref="D1:P1"/>
    <mergeCell ref="A4:A6"/>
    <mergeCell ref="A7:A9"/>
    <mergeCell ref="A10:A12"/>
    <mergeCell ref="A13:A15"/>
    <mergeCell ref="A16:A18"/>
    <mergeCell ref="A19:A21"/>
    <mergeCell ref="A22:A24"/>
    <mergeCell ref="A37:A39"/>
    <mergeCell ref="A40:A42"/>
    <mergeCell ref="A43:C43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71" r:id="rId2"/>
  <headerFooter alignWithMargins="0">
    <oddFooter>&amp;C&amp;20-8-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showZeros="0" zoomScale="55" zoomScaleNormal="55" zoomScaleSheetLayoutView="85" workbookViewId="0" topLeftCell="A1">
      <selection activeCell="Q43" sqref="Q43"/>
    </sheetView>
  </sheetViews>
  <sheetFormatPr defaultColWidth="9.140625" defaultRowHeight="12.75"/>
  <cols>
    <col min="1" max="1" width="14.421875" style="0" customWidth="1"/>
    <col min="4" max="9" width="10.7109375" style="0" customWidth="1"/>
    <col min="10" max="10" width="11.421875" style="0" customWidth="1"/>
    <col min="11" max="16" width="10.7109375" style="0" customWidth="1"/>
    <col min="17" max="18" width="11.421875" style="0" customWidth="1"/>
    <col min="19" max="19" width="6.8515625" style="0" customWidth="1"/>
  </cols>
  <sheetData>
    <row r="1" spans="1:16" ht="29.25" customHeight="1">
      <c r="A1" s="13" t="s">
        <v>37</v>
      </c>
      <c r="B1" s="10" t="s">
        <v>93</v>
      </c>
      <c r="C1" s="1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8" ht="18" customHeight="1" thickBot="1">
      <c r="A2" s="12" t="s">
        <v>5</v>
      </c>
      <c r="B2" s="15" t="s">
        <v>7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8">
        <f>'総合計'!Q2</f>
        <v>40616</v>
      </c>
    </row>
    <row r="3" spans="1:19" ht="24" customHeight="1" thickBot="1">
      <c r="A3" s="28" t="s">
        <v>39</v>
      </c>
      <c r="B3" s="29"/>
      <c r="C3" s="29"/>
      <c r="D3" s="21" t="s">
        <v>16</v>
      </c>
      <c r="E3" s="23" t="s">
        <v>17</v>
      </c>
      <c r="F3" s="23" t="s">
        <v>18</v>
      </c>
      <c r="G3" s="23" t="s">
        <v>19</v>
      </c>
      <c r="H3" s="23" t="s">
        <v>20</v>
      </c>
      <c r="I3" s="24" t="s">
        <v>21</v>
      </c>
      <c r="J3" s="25" t="s">
        <v>22</v>
      </c>
      <c r="K3" s="24" t="s">
        <v>23</v>
      </c>
      <c r="L3" s="23" t="s">
        <v>24</v>
      </c>
      <c r="M3" s="23" t="s">
        <v>25</v>
      </c>
      <c r="N3" s="23" t="s">
        <v>26</v>
      </c>
      <c r="O3" s="23" t="s">
        <v>27</v>
      </c>
      <c r="P3" s="24" t="s">
        <v>28</v>
      </c>
      <c r="Q3" s="25" t="s">
        <v>29</v>
      </c>
      <c r="R3" s="26" t="s">
        <v>30</v>
      </c>
      <c r="S3" s="5"/>
    </row>
    <row r="4" spans="1:19" s="17" customFormat="1" ht="16.5" customHeight="1">
      <c r="A4" s="101" t="s">
        <v>41</v>
      </c>
      <c r="B4" s="30" t="s">
        <v>9</v>
      </c>
      <c r="C4" s="31" t="s">
        <v>1</v>
      </c>
      <c r="D4" s="83">
        <v>13939</v>
      </c>
      <c r="E4" s="51">
        <v>45425</v>
      </c>
      <c r="F4" s="51">
        <v>57505</v>
      </c>
      <c r="G4" s="51">
        <v>7554</v>
      </c>
      <c r="H4" s="51">
        <v>60634</v>
      </c>
      <c r="I4" s="80">
        <v>31669</v>
      </c>
      <c r="J4" s="70">
        <f>SUM(D4:I4)</f>
        <v>216726</v>
      </c>
      <c r="K4" s="80">
        <v>5857</v>
      </c>
      <c r="L4" s="51">
        <v>8817</v>
      </c>
      <c r="M4" s="51">
        <v>9631</v>
      </c>
      <c r="N4" s="51">
        <v>4000</v>
      </c>
      <c r="O4" s="51"/>
      <c r="P4" s="80"/>
      <c r="Q4" s="73">
        <f>SUM(K4:P4)</f>
        <v>28305</v>
      </c>
      <c r="R4" s="64">
        <f>Q4+J4</f>
        <v>245031</v>
      </c>
      <c r="S4" s="16"/>
    </row>
    <row r="5" spans="1:19" s="17" customFormat="1" ht="16.5" customHeight="1">
      <c r="A5" s="102"/>
      <c r="B5" s="30" t="s">
        <v>10</v>
      </c>
      <c r="C5" s="31" t="s">
        <v>2</v>
      </c>
      <c r="D5" s="83">
        <v>569648</v>
      </c>
      <c r="E5" s="51">
        <v>1902300</v>
      </c>
      <c r="F5" s="51">
        <v>2595961</v>
      </c>
      <c r="G5" s="51">
        <v>398930</v>
      </c>
      <c r="H5" s="51">
        <v>3288397</v>
      </c>
      <c r="I5" s="80">
        <v>1819100</v>
      </c>
      <c r="J5" s="70">
        <f>SUM(D5:I5)</f>
        <v>10574336</v>
      </c>
      <c r="K5" s="81">
        <v>232433</v>
      </c>
      <c r="L5" s="53">
        <v>514345</v>
      </c>
      <c r="M5" s="53">
        <v>600185</v>
      </c>
      <c r="N5" s="53">
        <v>275230</v>
      </c>
      <c r="O5" s="53"/>
      <c r="P5" s="81"/>
      <c r="Q5" s="68">
        <f>SUM(K5:P5)</f>
        <v>1622193</v>
      </c>
      <c r="R5" s="64">
        <f>Q5+J5</f>
        <v>12196529</v>
      </c>
      <c r="S5" s="16"/>
    </row>
    <row r="6" spans="1:19" s="17" customFormat="1" ht="16.5" customHeight="1" thickBot="1">
      <c r="A6" s="103"/>
      <c r="B6" s="18" t="s">
        <v>42</v>
      </c>
      <c r="C6" s="32" t="s">
        <v>3</v>
      </c>
      <c r="D6" s="84">
        <f aca="true" t="shared" si="0" ref="D6:I6">IF(D4=0,,D5/D4*1000)</f>
        <v>40867.207116722864</v>
      </c>
      <c r="E6" s="52">
        <f t="shared" si="0"/>
        <v>41877.820583379194</v>
      </c>
      <c r="F6" s="52">
        <f t="shared" si="0"/>
        <v>45143.222328493175</v>
      </c>
      <c r="G6" s="52">
        <f t="shared" si="0"/>
        <v>52810.43155943871</v>
      </c>
      <c r="H6" s="52">
        <f t="shared" si="0"/>
        <v>54233.54883398754</v>
      </c>
      <c r="I6" s="82">
        <f t="shared" si="0"/>
        <v>57441.03066089867</v>
      </c>
      <c r="J6" s="69">
        <f aca="true" t="shared" si="1" ref="J6:P6">IF(J4=0,,J5/J4*1000)</f>
        <v>48791.266391665056</v>
      </c>
      <c r="K6" s="82">
        <f t="shared" si="1"/>
        <v>39684.65084514256</v>
      </c>
      <c r="L6" s="52">
        <f t="shared" si="1"/>
        <v>58335.60167857548</v>
      </c>
      <c r="M6" s="52">
        <f t="shared" si="1"/>
        <v>62318.03551033122</v>
      </c>
      <c r="N6" s="52">
        <f t="shared" si="1"/>
        <v>68807.5</v>
      </c>
      <c r="O6" s="52">
        <f t="shared" si="1"/>
        <v>0</v>
      </c>
      <c r="P6" s="82">
        <f t="shared" si="1"/>
        <v>0</v>
      </c>
      <c r="Q6" s="69">
        <f>IF(Q4=0,,Q5/Q4*1000)</f>
        <v>57311.1817700053</v>
      </c>
      <c r="R6" s="65">
        <f>IF(R4=0,,R5/R4*1000)</f>
        <v>49775.45290187772</v>
      </c>
      <c r="S6" s="46"/>
    </row>
    <row r="7" spans="1:19" s="17" customFormat="1" ht="16.5" customHeight="1">
      <c r="A7" s="101" t="s">
        <v>51</v>
      </c>
      <c r="B7" s="30" t="s">
        <v>9</v>
      </c>
      <c r="C7" s="31" t="s">
        <v>1</v>
      </c>
      <c r="D7" s="83">
        <v>20016</v>
      </c>
      <c r="E7" s="51">
        <v>16394</v>
      </c>
      <c r="F7" s="51">
        <v>18975</v>
      </c>
      <c r="G7" s="51">
        <v>8984</v>
      </c>
      <c r="H7" s="51">
        <v>53969</v>
      </c>
      <c r="I7" s="80">
        <v>18214</v>
      </c>
      <c r="J7" s="70">
        <f>SUM(D7:I7)</f>
        <v>136552</v>
      </c>
      <c r="K7" s="80">
        <v>4686</v>
      </c>
      <c r="L7" s="51"/>
      <c r="M7" s="51"/>
      <c r="N7" s="51"/>
      <c r="O7" s="51"/>
      <c r="P7" s="80"/>
      <c r="Q7" s="68">
        <f>SUM(K7:P7)</f>
        <v>4686</v>
      </c>
      <c r="R7" s="64">
        <f>Q7+J7</f>
        <v>141238</v>
      </c>
      <c r="S7" s="16"/>
    </row>
    <row r="8" spans="1:19" s="17" customFormat="1" ht="16.5" customHeight="1">
      <c r="A8" s="102"/>
      <c r="B8" s="30" t="s">
        <v>10</v>
      </c>
      <c r="C8" s="31" t="s">
        <v>2</v>
      </c>
      <c r="D8" s="83">
        <v>798642</v>
      </c>
      <c r="E8" s="51">
        <v>705445</v>
      </c>
      <c r="F8" s="51">
        <v>788323</v>
      </c>
      <c r="G8" s="51">
        <v>487165</v>
      </c>
      <c r="H8" s="51">
        <v>2959911</v>
      </c>
      <c r="I8" s="80">
        <v>1018403</v>
      </c>
      <c r="J8" s="70">
        <f>SUM(D8:I8)</f>
        <v>6757889</v>
      </c>
      <c r="K8" s="81">
        <v>232917</v>
      </c>
      <c r="L8" s="53"/>
      <c r="M8" s="53"/>
      <c r="N8" s="53"/>
      <c r="O8" s="53"/>
      <c r="P8" s="81"/>
      <c r="Q8" s="68">
        <f>SUM(K8:P8)</f>
        <v>232917</v>
      </c>
      <c r="R8" s="64">
        <f>Q8+J8</f>
        <v>6990806</v>
      </c>
      <c r="S8" s="16"/>
    </row>
    <row r="9" spans="1:19" s="17" customFormat="1" ht="16.5" customHeight="1" thickBot="1">
      <c r="A9" s="103"/>
      <c r="B9" s="18" t="s">
        <v>42</v>
      </c>
      <c r="C9" s="32" t="s">
        <v>3</v>
      </c>
      <c r="D9" s="84">
        <f aca="true" t="shared" si="2" ref="D9:I9">IF(D7=0,,D8/D7*1000)</f>
        <v>39900.17985611511</v>
      </c>
      <c r="E9" s="52">
        <f t="shared" si="2"/>
        <v>43030.68195681347</v>
      </c>
      <c r="F9" s="52">
        <f t="shared" si="2"/>
        <v>41545.34914361001</v>
      </c>
      <c r="G9" s="52">
        <f t="shared" si="2"/>
        <v>54225.84594835263</v>
      </c>
      <c r="H9" s="52">
        <f t="shared" si="2"/>
        <v>54844.65155922845</v>
      </c>
      <c r="I9" s="82">
        <f t="shared" si="2"/>
        <v>55913.19863841002</v>
      </c>
      <c r="J9" s="69">
        <f aca="true" t="shared" si="3" ref="J9:P9">IF(J7=0,,J8/J7*1000)</f>
        <v>49489.4911828461</v>
      </c>
      <c r="K9" s="82">
        <f t="shared" si="3"/>
        <v>49704.865556978235</v>
      </c>
      <c r="L9" s="52">
        <f t="shared" si="3"/>
        <v>0</v>
      </c>
      <c r="M9" s="52">
        <f t="shared" si="3"/>
        <v>0</v>
      </c>
      <c r="N9" s="52">
        <f t="shared" si="3"/>
        <v>0</v>
      </c>
      <c r="O9" s="52">
        <f t="shared" si="3"/>
        <v>0</v>
      </c>
      <c r="P9" s="82">
        <f t="shared" si="3"/>
        <v>0</v>
      </c>
      <c r="Q9" s="69">
        <f>IF(Q7=0,,Q8/Q7*1000)</f>
        <v>49704.865556978235</v>
      </c>
      <c r="R9" s="65">
        <f>IF(R7=0,,R8/R7*1000)</f>
        <v>49496.63688242541</v>
      </c>
      <c r="S9" s="16"/>
    </row>
    <row r="10" spans="1:19" s="17" customFormat="1" ht="16.5" customHeight="1">
      <c r="A10" s="101" t="s">
        <v>52</v>
      </c>
      <c r="B10" s="30" t="s">
        <v>9</v>
      </c>
      <c r="C10" s="31" t="s">
        <v>1</v>
      </c>
      <c r="D10" s="83"/>
      <c r="E10" s="51"/>
      <c r="F10" s="51"/>
      <c r="G10" s="51"/>
      <c r="H10" s="51"/>
      <c r="I10" s="80">
        <v>0</v>
      </c>
      <c r="J10" s="70">
        <f>SUM(D10:I10)</f>
        <v>0</v>
      </c>
      <c r="K10" s="80">
        <v>8544</v>
      </c>
      <c r="L10" s="51"/>
      <c r="M10" s="51"/>
      <c r="N10" s="51"/>
      <c r="O10" s="51"/>
      <c r="P10" s="80"/>
      <c r="Q10" s="68">
        <f>SUM(K10:P10)</f>
        <v>8544</v>
      </c>
      <c r="R10" s="64">
        <f>Q10+J10</f>
        <v>8544</v>
      </c>
      <c r="S10" s="16"/>
    </row>
    <row r="11" spans="1:19" s="17" customFormat="1" ht="16.5" customHeight="1">
      <c r="A11" s="102"/>
      <c r="B11" s="30" t="s">
        <v>10</v>
      </c>
      <c r="C11" s="31" t="s">
        <v>2</v>
      </c>
      <c r="D11" s="83"/>
      <c r="E11" s="51"/>
      <c r="F11" s="51"/>
      <c r="G11" s="51"/>
      <c r="H11" s="51"/>
      <c r="I11" s="80">
        <v>0</v>
      </c>
      <c r="J11" s="70">
        <f>SUM(D11:I11)</f>
        <v>0</v>
      </c>
      <c r="K11" s="81">
        <v>548137</v>
      </c>
      <c r="L11" s="53"/>
      <c r="M11" s="53"/>
      <c r="N11" s="53"/>
      <c r="O11" s="53"/>
      <c r="P11" s="81"/>
      <c r="Q11" s="70">
        <f>SUM(K11:P11)</f>
        <v>548137</v>
      </c>
      <c r="R11" s="66">
        <f>Q11+J11</f>
        <v>548137</v>
      </c>
      <c r="S11" s="16"/>
    </row>
    <row r="12" spans="1:19" s="17" customFormat="1" ht="16.5" customHeight="1" thickBot="1">
      <c r="A12" s="103"/>
      <c r="B12" s="18" t="s">
        <v>42</v>
      </c>
      <c r="C12" s="32" t="s">
        <v>3</v>
      </c>
      <c r="D12" s="84">
        <f aca="true" t="shared" si="4" ref="D12:I12">IF(D10=0,,D11/D10*1000)</f>
        <v>0</v>
      </c>
      <c r="E12" s="52">
        <f t="shared" si="4"/>
        <v>0</v>
      </c>
      <c r="F12" s="52">
        <f t="shared" si="4"/>
        <v>0</v>
      </c>
      <c r="G12" s="52">
        <f t="shared" si="4"/>
        <v>0</v>
      </c>
      <c r="H12" s="52">
        <f t="shared" si="4"/>
        <v>0</v>
      </c>
      <c r="I12" s="82">
        <f t="shared" si="4"/>
        <v>0</v>
      </c>
      <c r="J12" s="69">
        <f aca="true" t="shared" si="5" ref="J12:P12">IF(J10=0,,J11/J10*1000)</f>
        <v>0</v>
      </c>
      <c r="K12" s="82">
        <f t="shared" si="5"/>
        <v>64154.61142322097</v>
      </c>
      <c r="L12" s="52">
        <f t="shared" si="5"/>
        <v>0</v>
      </c>
      <c r="M12" s="52">
        <f t="shared" si="5"/>
        <v>0</v>
      </c>
      <c r="N12" s="52">
        <f t="shared" si="5"/>
        <v>0</v>
      </c>
      <c r="O12" s="52">
        <f t="shared" si="5"/>
        <v>0</v>
      </c>
      <c r="P12" s="82">
        <f t="shared" si="5"/>
        <v>0</v>
      </c>
      <c r="Q12" s="69">
        <f>IF(Q10=0,,Q11/Q10*1000)</f>
        <v>64154.61142322097</v>
      </c>
      <c r="R12" s="65">
        <f>IF(R10=0,,R11/R10*1000)</f>
        <v>64154.61142322097</v>
      </c>
      <c r="S12" s="46"/>
    </row>
    <row r="13" spans="1:19" s="17" customFormat="1" ht="16.5" customHeight="1">
      <c r="A13" s="101" t="s">
        <v>94</v>
      </c>
      <c r="B13" s="30" t="s">
        <v>9</v>
      </c>
      <c r="C13" s="31" t="s">
        <v>1</v>
      </c>
      <c r="D13" s="83">
        <v>10319</v>
      </c>
      <c r="E13" s="51"/>
      <c r="F13" s="51"/>
      <c r="G13" s="51"/>
      <c r="H13" s="51"/>
      <c r="I13" s="80"/>
      <c r="J13" s="70">
        <f>SUM(D13:I13)</f>
        <v>10319</v>
      </c>
      <c r="K13" s="80"/>
      <c r="L13" s="51"/>
      <c r="M13" s="51">
        <v>1420</v>
      </c>
      <c r="N13" s="51"/>
      <c r="O13" s="51"/>
      <c r="P13" s="80"/>
      <c r="Q13" s="68">
        <f>SUM(K13:P13)</f>
        <v>1420</v>
      </c>
      <c r="R13" s="64">
        <f>Q13+J13</f>
        <v>11739</v>
      </c>
      <c r="S13" s="16"/>
    </row>
    <row r="14" spans="1:19" s="17" customFormat="1" ht="16.5" customHeight="1">
      <c r="A14" s="102"/>
      <c r="B14" s="30" t="s">
        <v>10</v>
      </c>
      <c r="C14" s="31" t="s">
        <v>2</v>
      </c>
      <c r="D14" s="83">
        <v>462163</v>
      </c>
      <c r="E14" s="51"/>
      <c r="F14" s="51"/>
      <c r="G14" s="51"/>
      <c r="H14" s="51"/>
      <c r="I14" s="80"/>
      <c r="J14" s="70">
        <f>SUM(D14:I14)</f>
        <v>462163</v>
      </c>
      <c r="K14" s="81"/>
      <c r="L14" s="53"/>
      <c r="M14" s="53">
        <v>89930</v>
      </c>
      <c r="N14" s="53"/>
      <c r="O14" s="53"/>
      <c r="P14" s="81"/>
      <c r="Q14" s="70">
        <f>SUM(K14:P14)</f>
        <v>89930</v>
      </c>
      <c r="R14" s="66">
        <f>Q14+J14</f>
        <v>552093</v>
      </c>
      <c r="S14" s="16"/>
    </row>
    <row r="15" spans="1:19" s="17" customFormat="1" ht="16.5" customHeight="1" thickBot="1">
      <c r="A15" s="103"/>
      <c r="B15" s="18" t="s">
        <v>42</v>
      </c>
      <c r="C15" s="32" t="s">
        <v>3</v>
      </c>
      <c r="D15" s="84">
        <f aca="true" t="shared" si="6" ref="D15:I15">IF(D13=0,,D14/D13*1000)</f>
        <v>44787.576315534454</v>
      </c>
      <c r="E15" s="52">
        <f t="shared" si="6"/>
        <v>0</v>
      </c>
      <c r="F15" s="52">
        <f t="shared" si="6"/>
        <v>0</v>
      </c>
      <c r="G15" s="52">
        <f t="shared" si="6"/>
        <v>0</v>
      </c>
      <c r="H15" s="52">
        <f t="shared" si="6"/>
        <v>0</v>
      </c>
      <c r="I15" s="82">
        <f t="shared" si="6"/>
        <v>0</v>
      </c>
      <c r="J15" s="69">
        <f aca="true" t="shared" si="7" ref="J15:P15">IF(J13=0,,J14/J13*1000)</f>
        <v>44787.576315534454</v>
      </c>
      <c r="K15" s="82">
        <f t="shared" si="7"/>
        <v>0</v>
      </c>
      <c r="L15" s="52">
        <f t="shared" si="7"/>
        <v>0</v>
      </c>
      <c r="M15" s="52">
        <f t="shared" si="7"/>
        <v>63330.98591549296</v>
      </c>
      <c r="N15" s="52">
        <f t="shared" si="7"/>
        <v>0</v>
      </c>
      <c r="O15" s="52">
        <f t="shared" si="7"/>
        <v>0</v>
      </c>
      <c r="P15" s="82">
        <f t="shared" si="7"/>
        <v>0</v>
      </c>
      <c r="Q15" s="69">
        <f>IF(Q13=0,,Q14/Q13*1000)</f>
        <v>63330.98591549296</v>
      </c>
      <c r="R15" s="65">
        <f>IF(R13=0,,R14/R13*1000)</f>
        <v>47030.6670074112</v>
      </c>
      <c r="S15" s="50"/>
    </row>
    <row r="16" spans="1:19" s="17" customFormat="1" ht="16.5" customHeight="1">
      <c r="A16" s="101" t="s">
        <v>96</v>
      </c>
      <c r="B16" s="30" t="s">
        <v>9</v>
      </c>
      <c r="C16" s="31" t="s">
        <v>1</v>
      </c>
      <c r="D16" s="83">
        <v>32570</v>
      </c>
      <c r="E16" s="51">
        <v>75142</v>
      </c>
      <c r="F16" s="51">
        <v>47422</v>
      </c>
      <c r="G16" s="51">
        <v>9927</v>
      </c>
      <c r="H16" s="51">
        <v>13263</v>
      </c>
      <c r="I16" s="80">
        <v>57766</v>
      </c>
      <c r="J16" s="70">
        <f>SUM(D16:I16)</f>
        <v>236090</v>
      </c>
      <c r="K16" s="80">
        <v>32349</v>
      </c>
      <c r="L16" s="51"/>
      <c r="M16" s="51"/>
      <c r="N16" s="51">
        <v>8800</v>
      </c>
      <c r="O16" s="51"/>
      <c r="P16" s="80"/>
      <c r="Q16" s="68">
        <f>SUM(K16:P16)</f>
        <v>41149</v>
      </c>
      <c r="R16" s="64">
        <f>Q16+J16</f>
        <v>277239</v>
      </c>
      <c r="S16" s="16"/>
    </row>
    <row r="17" spans="1:19" s="17" customFormat="1" ht="16.5" customHeight="1">
      <c r="A17" s="102"/>
      <c r="B17" s="30" t="s">
        <v>10</v>
      </c>
      <c r="C17" s="31" t="s">
        <v>2</v>
      </c>
      <c r="D17" s="83">
        <v>1310775</v>
      </c>
      <c r="E17" s="51">
        <v>3146728</v>
      </c>
      <c r="F17" s="51">
        <v>2313037</v>
      </c>
      <c r="G17" s="51">
        <v>535376</v>
      </c>
      <c r="H17" s="51">
        <v>779247</v>
      </c>
      <c r="I17" s="80">
        <v>3094391</v>
      </c>
      <c r="J17" s="70">
        <f>SUM(D17:I17)</f>
        <v>11179554</v>
      </c>
      <c r="K17" s="81">
        <v>1763321</v>
      </c>
      <c r="L17" s="53"/>
      <c r="M17" s="53"/>
      <c r="N17" s="53">
        <v>575255</v>
      </c>
      <c r="O17" s="53"/>
      <c r="P17" s="81"/>
      <c r="Q17" s="68">
        <f>SUM(K17:P17)</f>
        <v>2338576</v>
      </c>
      <c r="R17" s="64">
        <f>Q17+J17</f>
        <v>13518130</v>
      </c>
      <c r="S17" s="16"/>
    </row>
    <row r="18" spans="1:19" s="17" customFormat="1" ht="16.5" customHeight="1" thickBot="1">
      <c r="A18" s="103"/>
      <c r="B18" s="18" t="s">
        <v>42</v>
      </c>
      <c r="C18" s="32" t="s">
        <v>3</v>
      </c>
      <c r="D18" s="84">
        <f aca="true" t="shared" si="8" ref="D18:I18">IF(D16=0,,D17/D16*1000)</f>
        <v>40244.85723058029</v>
      </c>
      <c r="E18" s="52">
        <f t="shared" si="8"/>
        <v>41877.08605041122</v>
      </c>
      <c r="F18" s="52">
        <f t="shared" si="8"/>
        <v>48775.610476150316</v>
      </c>
      <c r="G18" s="52">
        <f t="shared" si="8"/>
        <v>53931.29847889594</v>
      </c>
      <c r="H18" s="52">
        <f t="shared" si="8"/>
        <v>58753.449445826736</v>
      </c>
      <c r="I18" s="82">
        <f t="shared" si="8"/>
        <v>53567.686874632134</v>
      </c>
      <c r="J18" s="69">
        <f aca="true" t="shared" si="9" ref="J18:P18">IF(J16=0,,J17/J16*1000)</f>
        <v>47352.93320343937</v>
      </c>
      <c r="K18" s="82">
        <f t="shared" si="9"/>
        <v>54509.289313425455</v>
      </c>
      <c r="L18" s="52">
        <f t="shared" si="9"/>
        <v>0</v>
      </c>
      <c r="M18" s="52">
        <f t="shared" si="9"/>
        <v>0</v>
      </c>
      <c r="N18" s="52">
        <f t="shared" si="9"/>
        <v>65369.88636363637</v>
      </c>
      <c r="O18" s="52">
        <f t="shared" si="9"/>
        <v>0</v>
      </c>
      <c r="P18" s="82">
        <f t="shared" si="9"/>
        <v>0</v>
      </c>
      <c r="Q18" s="69">
        <f>IF(Q16=0,,Q17/Q16*1000)</f>
        <v>56831.9035699531</v>
      </c>
      <c r="R18" s="65">
        <f>IF(R16=0,,R17/R16*1000)</f>
        <v>48759.842590688895</v>
      </c>
      <c r="S18" s="46"/>
    </row>
    <row r="19" spans="1:19" s="17" customFormat="1" ht="16.5" customHeight="1">
      <c r="A19" s="110" t="s">
        <v>45</v>
      </c>
      <c r="B19" s="30" t="s">
        <v>9</v>
      </c>
      <c r="C19" s="31" t="s">
        <v>1</v>
      </c>
      <c r="D19" s="83">
        <v>20445</v>
      </c>
      <c r="E19" s="51">
        <v>22464</v>
      </c>
      <c r="F19" s="51">
        <v>49305</v>
      </c>
      <c r="G19" s="51">
        <v>30204</v>
      </c>
      <c r="H19" s="51">
        <v>22094</v>
      </c>
      <c r="I19" s="80">
        <v>40940</v>
      </c>
      <c r="J19" s="70">
        <f>SUM(D19:I19)</f>
        <v>185452</v>
      </c>
      <c r="K19" s="80">
        <v>10551</v>
      </c>
      <c r="L19" s="51">
        <v>12988</v>
      </c>
      <c r="M19" s="51">
        <v>9575</v>
      </c>
      <c r="N19" s="51">
        <v>8500</v>
      </c>
      <c r="O19" s="51">
        <v>2369</v>
      </c>
      <c r="P19" s="80">
        <v>32263</v>
      </c>
      <c r="Q19" s="68">
        <f>SUM(K19:P19)</f>
        <v>76246</v>
      </c>
      <c r="R19" s="64">
        <f>Q19+J19</f>
        <v>261698</v>
      </c>
      <c r="S19" s="16"/>
    </row>
    <row r="20" spans="1:19" s="17" customFormat="1" ht="16.5" customHeight="1">
      <c r="A20" s="111"/>
      <c r="B20" s="30" t="s">
        <v>10</v>
      </c>
      <c r="C20" s="31" t="s">
        <v>2</v>
      </c>
      <c r="D20" s="83">
        <v>897754</v>
      </c>
      <c r="E20" s="51">
        <v>1011877</v>
      </c>
      <c r="F20" s="51">
        <v>2605254</v>
      </c>
      <c r="G20" s="51">
        <v>1619645</v>
      </c>
      <c r="H20" s="51">
        <v>1216318</v>
      </c>
      <c r="I20" s="80">
        <v>2155578</v>
      </c>
      <c r="J20" s="70">
        <f>SUM(D20:I20)</f>
        <v>9506426</v>
      </c>
      <c r="K20" s="81">
        <v>564539</v>
      </c>
      <c r="L20" s="53">
        <v>732982</v>
      </c>
      <c r="M20" s="53">
        <v>574494</v>
      </c>
      <c r="N20" s="53">
        <v>525394</v>
      </c>
      <c r="O20" s="53">
        <v>149392</v>
      </c>
      <c r="P20" s="81">
        <v>2284151</v>
      </c>
      <c r="Q20" s="68">
        <f>SUM(K20:P20)</f>
        <v>4830952</v>
      </c>
      <c r="R20" s="64">
        <f>Q20+J20</f>
        <v>14337378</v>
      </c>
      <c r="S20" s="16"/>
    </row>
    <row r="21" spans="1:19" s="17" customFormat="1" ht="16.5" customHeight="1" thickBot="1">
      <c r="A21" s="112"/>
      <c r="B21" s="18" t="s">
        <v>42</v>
      </c>
      <c r="C21" s="32" t="s">
        <v>3</v>
      </c>
      <c r="D21" s="84">
        <f aca="true" t="shared" si="10" ref="D21:I21">IF(D19=0,,D20/D19*1000)</f>
        <v>43910.6872095867</v>
      </c>
      <c r="E21" s="52">
        <f t="shared" si="10"/>
        <v>45044.38212250712</v>
      </c>
      <c r="F21" s="52">
        <f t="shared" si="10"/>
        <v>52839.549741405535</v>
      </c>
      <c r="G21" s="52">
        <f t="shared" si="10"/>
        <v>53623.52668520726</v>
      </c>
      <c r="H21" s="52">
        <f t="shared" si="10"/>
        <v>55051.959808092695</v>
      </c>
      <c r="I21" s="82">
        <f t="shared" si="10"/>
        <v>52652.12506106497</v>
      </c>
      <c r="J21" s="69">
        <f aca="true" t="shared" si="11" ref="J21:P21">IF(J19=0,,J20/J19*1000)</f>
        <v>51260.843776287125</v>
      </c>
      <c r="K21" s="82">
        <f t="shared" si="11"/>
        <v>53505.734053644206</v>
      </c>
      <c r="L21" s="52">
        <f t="shared" si="11"/>
        <v>56435.32491530644</v>
      </c>
      <c r="M21" s="52">
        <f t="shared" si="11"/>
        <v>59999.37336814622</v>
      </c>
      <c r="N21" s="52">
        <f t="shared" si="11"/>
        <v>61811.05882352941</v>
      </c>
      <c r="O21" s="52">
        <f t="shared" si="11"/>
        <v>63061.207260447445</v>
      </c>
      <c r="P21" s="82">
        <f t="shared" si="11"/>
        <v>70797.84892911384</v>
      </c>
      <c r="Q21" s="69">
        <f>IF(Q19=0,,Q20/Q19*1000)</f>
        <v>63360.07134800514</v>
      </c>
      <c r="R21" s="65">
        <f>IF(R19=0,,R20/R19*1000)</f>
        <v>54785.96703069951</v>
      </c>
      <c r="S21" s="46"/>
    </row>
    <row r="22" spans="1:19" s="17" customFormat="1" ht="16.5" customHeight="1">
      <c r="A22" s="101" t="s">
        <v>53</v>
      </c>
      <c r="B22" s="30" t="s">
        <v>9</v>
      </c>
      <c r="C22" s="31" t="s">
        <v>1</v>
      </c>
      <c r="D22" s="83">
        <v>21833</v>
      </c>
      <c r="E22" s="51">
        <v>11472</v>
      </c>
      <c r="F22" s="51"/>
      <c r="G22" s="51">
        <v>17012</v>
      </c>
      <c r="H22" s="51">
        <v>29914</v>
      </c>
      <c r="I22" s="80">
        <v>17904</v>
      </c>
      <c r="J22" s="70">
        <f>SUM(D22:I22)</f>
        <v>98135</v>
      </c>
      <c r="K22" s="80">
        <v>25713</v>
      </c>
      <c r="L22" s="51">
        <v>20445</v>
      </c>
      <c r="M22" s="51">
        <v>22808</v>
      </c>
      <c r="N22" s="51">
        <v>19650</v>
      </c>
      <c r="O22" s="51"/>
      <c r="P22" s="80">
        <v>0</v>
      </c>
      <c r="Q22" s="68">
        <f>SUM(K22:P22)</f>
        <v>88616</v>
      </c>
      <c r="R22" s="64">
        <f>Q22+J22</f>
        <v>186751</v>
      </c>
      <c r="S22" s="16"/>
    </row>
    <row r="23" spans="1:19" s="17" customFormat="1" ht="16.5" customHeight="1">
      <c r="A23" s="102"/>
      <c r="B23" s="30" t="s">
        <v>10</v>
      </c>
      <c r="C23" s="31" t="s">
        <v>2</v>
      </c>
      <c r="D23" s="83">
        <v>952216</v>
      </c>
      <c r="E23" s="51">
        <v>562869</v>
      </c>
      <c r="F23" s="51"/>
      <c r="G23" s="51">
        <v>870731</v>
      </c>
      <c r="H23" s="51">
        <v>1629438</v>
      </c>
      <c r="I23" s="80">
        <v>997446</v>
      </c>
      <c r="J23" s="70">
        <f>SUM(D23:I23)</f>
        <v>5012700</v>
      </c>
      <c r="K23" s="81">
        <v>1374122</v>
      </c>
      <c r="L23" s="53">
        <v>1030608</v>
      </c>
      <c r="M23" s="53">
        <v>1378150</v>
      </c>
      <c r="N23" s="53">
        <v>1225656</v>
      </c>
      <c r="O23" s="53"/>
      <c r="P23" s="81">
        <v>0</v>
      </c>
      <c r="Q23" s="68">
        <f>SUM(K23:P23)</f>
        <v>5008536</v>
      </c>
      <c r="R23" s="64">
        <f>Q23+J23</f>
        <v>10021236</v>
      </c>
      <c r="S23" s="16"/>
    </row>
    <row r="24" spans="1:19" s="17" customFormat="1" ht="16.5" customHeight="1" thickBot="1">
      <c r="A24" s="103"/>
      <c r="B24" s="18" t="s">
        <v>42</v>
      </c>
      <c r="C24" s="32" t="s">
        <v>3</v>
      </c>
      <c r="D24" s="84">
        <f aca="true" t="shared" si="12" ref="D24:I24">IF(D22=0,,D23/D22*1000)</f>
        <v>43613.61242156369</v>
      </c>
      <c r="E24" s="52">
        <f t="shared" si="12"/>
        <v>49064.592050209205</v>
      </c>
      <c r="F24" s="52">
        <f t="shared" si="12"/>
        <v>0</v>
      </c>
      <c r="G24" s="52">
        <f t="shared" si="12"/>
        <v>51183.34117093816</v>
      </c>
      <c r="H24" s="52">
        <f t="shared" si="12"/>
        <v>54470.74948184797</v>
      </c>
      <c r="I24" s="82">
        <f t="shared" si="12"/>
        <v>55710.790884718495</v>
      </c>
      <c r="J24" s="69">
        <f aca="true" t="shared" si="13" ref="J24:P24">IF(J22=0,,J23/J22*1000)</f>
        <v>51079.63519641311</v>
      </c>
      <c r="K24" s="82">
        <f t="shared" si="13"/>
        <v>53440.74981526854</v>
      </c>
      <c r="L24" s="52">
        <f t="shared" si="13"/>
        <v>50408.80410858401</v>
      </c>
      <c r="M24" s="52">
        <f t="shared" si="13"/>
        <v>60423.97404419502</v>
      </c>
      <c r="N24" s="52">
        <f t="shared" si="13"/>
        <v>62374.35114503817</v>
      </c>
      <c r="O24" s="52">
        <f t="shared" si="13"/>
        <v>0</v>
      </c>
      <c r="P24" s="82">
        <f t="shared" si="13"/>
        <v>0</v>
      </c>
      <c r="Q24" s="69">
        <f>IF(Q22=0,,Q23/Q22*1000)</f>
        <v>56519.5450031597</v>
      </c>
      <c r="R24" s="65">
        <f>IF(R22=0,,R23/R22*1000)</f>
        <v>53660.94960669555</v>
      </c>
      <c r="S24" s="46"/>
    </row>
    <row r="25" spans="1:19" s="17" customFormat="1" ht="16.5" customHeight="1">
      <c r="A25" s="101" t="s">
        <v>54</v>
      </c>
      <c r="B25" s="30" t="s">
        <v>9</v>
      </c>
      <c r="C25" s="31" t="s">
        <v>1</v>
      </c>
      <c r="D25" s="83"/>
      <c r="E25" s="51"/>
      <c r="F25" s="51"/>
      <c r="G25" s="51"/>
      <c r="H25" s="51"/>
      <c r="I25" s="80"/>
      <c r="J25" s="70">
        <f>SUM(D25:I25)</f>
        <v>0</v>
      </c>
      <c r="K25" s="80"/>
      <c r="L25" s="51"/>
      <c r="M25" s="51"/>
      <c r="N25" s="51"/>
      <c r="O25" s="51"/>
      <c r="P25" s="80"/>
      <c r="Q25" s="68">
        <f>SUM(K25:P25)</f>
        <v>0</v>
      </c>
      <c r="R25" s="64">
        <f>Q25+J25</f>
        <v>0</v>
      </c>
      <c r="S25" s="16"/>
    </row>
    <row r="26" spans="1:19" s="17" customFormat="1" ht="16.5" customHeight="1">
      <c r="A26" s="102"/>
      <c r="B26" s="30" t="s">
        <v>10</v>
      </c>
      <c r="C26" s="31" t="s">
        <v>2</v>
      </c>
      <c r="D26" s="83"/>
      <c r="E26" s="51"/>
      <c r="F26" s="51"/>
      <c r="G26" s="51"/>
      <c r="H26" s="51"/>
      <c r="I26" s="80"/>
      <c r="J26" s="70">
        <f>SUM(D26:I26)</f>
        <v>0</v>
      </c>
      <c r="K26" s="81"/>
      <c r="L26" s="53"/>
      <c r="M26" s="53"/>
      <c r="N26" s="53"/>
      <c r="O26" s="53"/>
      <c r="P26" s="81"/>
      <c r="Q26" s="68">
        <f>SUM(K26:P26)</f>
        <v>0</v>
      </c>
      <c r="R26" s="64">
        <f>Q26+J26</f>
        <v>0</v>
      </c>
      <c r="S26" s="16"/>
    </row>
    <row r="27" spans="1:19" s="17" customFormat="1" ht="16.5" customHeight="1" thickBot="1">
      <c r="A27" s="103"/>
      <c r="B27" s="18" t="s">
        <v>42</v>
      </c>
      <c r="C27" s="32" t="s">
        <v>3</v>
      </c>
      <c r="D27" s="84">
        <f aca="true" t="shared" si="14" ref="D27:I27">IF(D25=0,,D26/D25*1000)</f>
        <v>0</v>
      </c>
      <c r="E27" s="52">
        <f t="shared" si="14"/>
        <v>0</v>
      </c>
      <c r="F27" s="52">
        <f t="shared" si="14"/>
        <v>0</v>
      </c>
      <c r="G27" s="52">
        <f t="shared" si="14"/>
        <v>0</v>
      </c>
      <c r="H27" s="52">
        <f t="shared" si="14"/>
        <v>0</v>
      </c>
      <c r="I27" s="82">
        <f t="shared" si="14"/>
        <v>0</v>
      </c>
      <c r="J27" s="69">
        <f aca="true" t="shared" si="15" ref="J27:P27">IF(J25=0,,J26/J25*1000)</f>
        <v>0</v>
      </c>
      <c r="K27" s="82">
        <f t="shared" si="15"/>
        <v>0</v>
      </c>
      <c r="L27" s="52">
        <f t="shared" si="15"/>
        <v>0</v>
      </c>
      <c r="M27" s="52">
        <f t="shared" si="15"/>
        <v>0</v>
      </c>
      <c r="N27" s="52">
        <f t="shared" si="15"/>
        <v>0</v>
      </c>
      <c r="O27" s="52">
        <f t="shared" si="15"/>
        <v>0</v>
      </c>
      <c r="P27" s="82">
        <f t="shared" si="15"/>
        <v>0</v>
      </c>
      <c r="Q27" s="69">
        <f>IF(Q25=0,,Q26/Q25*1000)</f>
        <v>0</v>
      </c>
      <c r="R27" s="65">
        <f>IF(R25=0,,R26/R25*1000)</f>
        <v>0</v>
      </c>
      <c r="S27" s="50"/>
    </row>
    <row r="28" spans="1:19" s="17" customFormat="1" ht="16.5" customHeight="1">
      <c r="A28" s="101" t="s">
        <v>11</v>
      </c>
      <c r="B28" s="30" t="s">
        <v>9</v>
      </c>
      <c r="C28" s="31" t="s">
        <v>1</v>
      </c>
      <c r="D28" s="83"/>
      <c r="E28" s="51"/>
      <c r="F28" s="51"/>
      <c r="G28" s="51"/>
      <c r="H28" s="51"/>
      <c r="I28" s="80"/>
      <c r="J28" s="70">
        <f>SUM(D28:I28)</f>
        <v>0</v>
      </c>
      <c r="K28" s="80"/>
      <c r="L28" s="51"/>
      <c r="M28" s="51"/>
      <c r="N28" s="51"/>
      <c r="O28" s="51"/>
      <c r="P28" s="80"/>
      <c r="Q28" s="68">
        <f>SUM(K28:P28)</f>
        <v>0</v>
      </c>
      <c r="R28" s="64">
        <f>Q28+J28</f>
        <v>0</v>
      </c>
      <c r="S28" s="16"/>
    </row>
    <row r="29" spans="1:19" s="17" customFormat="1" ht="16.5" customHeight="1">
      <c r="A29" s="102"/>
      <c r="B29" s="30" t="s">
        <v>10</v>
      </c>
      <c r="C29" s="31" t="s">
        <v>2</v>
      </c>
      <c r="D29" s="83"/>
      <c r="E29" s="51"/>
      <c r="F29" s="51"/>
      <c r="G29" s="51"/>
      <c r="H29" s="51"/>
      <c r="I29" s="80"/>
      <c r="J29" s="70">
        <f>SUM(D29:I29)</f>
        <v>0</v>
      </c>
      <c r="K29" s="81"/>
      <c r="L29" s="53"/>
      <c r="M29" s="53"/>
      <c r="N29" s="53"/>
      <c r="O29" s="53"/>
      <c r="P29" s="81"/>
      <c r="Q29" s="68">
        <f>SUM(K29:P29)</f>
        <v>0</v>
      </c>
      <c r="R29" s="64">
        <f>Q29+J29</f>
        <v>0</v>
      </c>
      <c r="S29" s="16"/>
    </row>
    <row r="30" spans="1:19" s="17" customFormat="1" ht="16.5" customHeight="1" thickBot="1">
      <c r="A30" s="103"/>
      <c r="B30" s="18" t="s">
        <v>42</v>
      </c>
      <c r="C30" s="32" t="s">
        <v>3</v>
      </c>
      <c r="D30" s="84">
        <f aca="true" t="shared" si="16" ref="D30:I30">IF(D28=0,,D29/D28*1000)</f>
        <v>0</v>
      </c>
      <c r="E30" s="52">
        <f t="shared" si="16"/>
        <v>0</v>
      </c>
      <c r="F30" s="52">
        <f t="shared" si="16"/>
        <v>0</v>
      </c>
      <c r="G30" s="52">
        <f t="shared" si="16"/>
        <v>0</v>
      </c>
      <c r="H30" s="52">
        <f t="shared" si="16"/>
        <v>0</v>
      </c>
      <c r="I30" s="82">
        <f t="shared" si="16"/>
        <v>0</v>
      </c>
      <c r="J30" s="69">
        <f aca="true" t="shared" si="17" ref="J30:P30">IF(J28=0,,J29/J28*1000)</f>
        <v>0</v>
      </c>
      <c r="K30" s="82">
        <f t="shared" si="17"/>
        <v>0</v>
      </c>
      <c r="L30" s="52">
        <f t="shared" si="17"/>
        <v>0</v>
      </c>
      <c r="M30" s="52">
        <f t="shared" si="17"/>
        <v>0</v>
      </c>
      <c r="N30" s="52">
        <f t="shared" si="17"/>
        <v>0</v>
      </c>
      <c r="O30" s="52">
        <f t="shared" si="17"/>
        <v>0</v>
      </c>
      <c r="P30" s="82">
        <f t="shared" si="17"/>
        <v>0</v>
      </c>
      <c r="Q30" s="69">
        <f>IF(Q28=0,,Q29/Q28*1000)</f>
        <v>0</v>
      </c>
      <c r="R30" s="65">
        <f>IF(R28=0,,R29/R28*1000)</f>
        <v>0</v>
      </c>
      <c r="S30" s="46"/>
    </row>
    <row r="31" spans="1:19" s="17" customFormat="1" ht="16.5" customHeight="1">
      <c r="A31" s="101" t="s">
        <v>55</v>
      </c>
      <c r="B31" s="30" t="s">
        <v>9</v>
      </c>
      <c r="C31" s="31" t="s">
        <v>1</v>
      </c>
      <c r="D31" s="83"/>
      <c r="E31" s="51"/>
      <c r="F31" s="51"/>
      <c r="G31" s="51"/>
      <c r="H31" s="51"/>
      <c r="I31" s="80"/>
      <c r="J31" s="70">
        <f>SUM(D31:I31)</f>
        <v>0</v>
      </c>
      <c r="K31" s="80"/>
      <c r="L31" s="51"/>
      <c r="M31" s="51"/>
      <c r="N31" s="51"/>
      <c r="O31" s="51"/>
      <c r="P31" s="80"/>
      <c r="Q31" s="68">
        <f>SUM(K31:P31)</f>
        <v>0</v>
      </c>
      <c r="R31" s="64">
        <f>Q31+J31</f>
        <v>0</v>
      </c>
      <c r="S31" s="16"/>
    </row>
    <row r="32" spans="1:19" s="17" customFormat="1" ht="16.5" customHeight="1">
      <c r="A32" s="102"/>
      <c r="B32" s="30" t="s">
        <v>10</v>
      </c>
      <c r="C32" s="31" t="s">
        <v>2</v>
      </c>
      <c r="D32" s="83"/>
      <c r="E32" s="51"/>
      <c r="F32" s="51"/>
      <c r="G32" s="51"/>
      <c r="H32" s="51"/>
      <c r="I32" s="80"/>
      <c r="J32" s="70">
        <f>SUM(D32:I32)</f>
        <v>0</v>
      </c>
      <c r="K32" s="81"/>
      <c r="L32" s="53"/>
      <c r="M32" s="53"/>
      <c r="N32" s="53"/>
      <c r="O32" s="53"/>
      <c r="P32" s="81"/>
      <c r="Q32" s="70">
        <f>SUM(K32:P32)</f>
        <v>0</v>
      </c>
      <c r="R32" s="66">
        <f>Q32+J32</f>
        <v>0</v>
      </c>
      <c r="S32" s="16"/>
    </row>
    <row r="33" spans="1:19" s="17" customFormat="1" ht="16.5" customHeight="1" thickBot="1">
      <c r="A33" s="103"/>
      <c r="B33" s="18" t="s">
        <v>42</v>
      </c>
      <c r="C33" s="32" t="s">
        <v>3</v>
      </c>
      <c r="D33" s="84">
        <f aca="true" t="shared" si="18" ref="D33:I33">IF(D31=0,,D32/D31*1000)</f>
        <v>0</v>
      </c>
      <c r="E33" s="52">
        <f t="shared" si="18"/>
        <v>0</v>
      </c>
      <c r="F33" s="52">
        <f t="shared" si="18"/>
        <v>0</v>
      </c>
      <c r="G33" s="52">
        <f t="shared" si="18"/>
        <v>0</v>
      </c>
      <c r="H33" s="52">
        <f t="shared" si="18"/>
        <v>0</v>
      </c>
      <c r="I33" s="82">
        <f t="shared" si="18"/>
        <v>0</v>
      </c>
      <c r="J33" s="69">
        <f aca="true" t="shared" si="19" ref="J33:P33">IF(J31=0,,J32/J31*1000)</f>
        <v>0</v>
      </c>
      <c r="K33" s="82">
        <f t="shared" si="19"/>
        <v>0</v>
      </c>
      <c r="L33" s="52">
        <f t="shared" si="19"/>
        <v>0</v>
      </c>
      <c r="M33" s="52">
        <f t="shared" si="19"/>
        <v>0</v>
      </c>
      <c r="N33" s="52">
        <f t="shared" si="19"/>
        <v>0</v>
      </c>
      <c r="O33" s="52">
        <f t="shared" si="19"/>
        <v>0</v>
      </c>
      <c r="P33" s="82">
        <f t="shared" si="19"/>
        <v>0</v>
      </c>
      <c r="Q33" s="69">
        <f>IF(Q31=0,,Q32/Q31*1000)</f>
        <v>0</v>
      </c>
      <c r="R33" s="65">
        <f>IF(R31=0,,R32/R31*1000)</f>
        <v>0</v>
      </c>
      <c r="S33" s="50"/>
    </row>
    <row r="34" spans="1:19" s="17" customFormat="1" ht="16.5" customHeight="1">
      <c r="A34" s="101" t="s">
        <v>56</v>
      </c>
      <c r="B34" s="30" t="s">
        <v>9</v>
      </c>
      <c r="C34" s="31" t="s">
        <v>1</v>
      </c>
      <c r="D34" s="83"/>
      <c r="E34" s="51"/>
      <c r="F34" s="51"/>
      <c r="G34" s="51"/>
      <c r="H34" s="51"/>
      <c r="I34" s="80">
        <v>0</v>
      </c>
      <c r="J34" s="70">
        <f>SUM(D34:I34)</f>
        <v>0</v>
      </c>
      <c r="K34" s="80">
        <v>9814</v>
      </c>
      <c r="L34" s="51"/>
      <c r="M34" s="51"/>
      <c r="N34" s="51"/>
      <c r="O34" s="51"/>
      <c r="P34" s="80"/>
      <c r="Q34" s="68">
        <f>SUM(K34:P34)</f>
        <v>9814</v>
      </c>
      <c r="R34" s="64">
        <f>Q34+J34</f>
        <v>9814</v>
      </c>
      <c r="S34" s="16"/>
    </row>
    <row r="35" spans="1:19" s="17" customFormat="1" ht="16.5" customHeight="1">
      <c r="A35" s="102"/>
      <c r="B35" s="30" t="s">
        <v>10</v>
      </c>
      <c r="C35" s="31" t="s">
        <v>2</v>
      </c>
      <c r="D35" s="83"/>
      <c r="E35" s="51"/>
      <c r="F35" s="51"/>
      <c r="G35" s="51"/>
      <c r="H35" s="51"/>
      <c r="I35" s="80">
        <v>0</v>
      </c>
      <c r="J35" s="70">
        <f>SUM(D35:I35)</f>
        <v>0</v>
      </c>
      <c r="K35" s="81">
        <v>511911</v>
      </c>
      <c r="L35" s="53"/>
      <c r="M35" s="53"/>
      <c r="N35" s="53"/>
      <c r="O35" s="53"/>
      <c r="P35" s="81"/>
      <c r="Q35" s="68">
        <f>SUM(K35:P35)</f>
        <v>511911</v>
      </c>
      <c r="R35" s="64">
        <f>Q35+J35</f>
        <v>511911</v>
      </c>
      <c r="S35" s="16"/>
    </row>
    <row r="36" spans="1:19" s="17" customFormat="1" ht="16.5" customHeight="1" thickBot="1">
      <c r="A36" s="103"/>
      <c r="B36" s="18" t="s">
        <v>42</v>
      </c>
      <c r="C36" s="32" t="s">
        <v>3</v>
      </c>
      <c r="D36" s="84">
        <f aca="true" t="shared" si="20" ref="D36:I36">IF(D34=0,,D35/D34*1000)</f>
        <v>0</v>
      </c>
      <c r="E36" s="52">
        <f t="shared" si="20"/>
        <v>0</v>
      </c>
      <c r="F36" s="52">
        <f t="shared" si="20"/>
        <v>0</v>
      </c>
      <c r="G36" s="52">
        <f t="shared" si="20"/>
        <v>0</v>
      </c>
      <c r="H36" s="52">
        <f t="shared" si="20"/>
        <v>0</v>
      </c>
      <c r="I36" s="82">
        <f t="shared" si="20"/>
        <v>0</v>
      </c>
      <c r="J36" s="69">
        <f aca="true" t="shared" si="21" ref="J36:P36">IF(J34=0,,J35/J34*1000)</f>
        <v>0</v>
      </c>
      <c r="K36" s="82">
        <f t="shared" si="21"/>
        <v>52161.300183411455</v>
      </c>
      <c r="L36" s="52">
        <f t="shared" si="21"/>
        <v>0</v>
      </c>
      <c r="M36" s="52">
        <f t="shared" si="21"/>
        <v>0</v>
      </c>
      <c r="N36" s="52">
        <f t="shared" si="21"/>
        <v>0</v>
      </c>
      <c r="O36" s="52">
        <f t="shared" si="21"/>
        <v>0</v>
      </c>
      <c r="P36" s="82">
        <f t="shared" si="21"/>
        <v>0</v>
      </c>
      <c r="Q36" s="69">
        <f>IF(Q34=0,,Q35/Q34*1000)</f>
        <v>52161.300183411455</v>
      </c>
      <c r="R36" s="65">
        <f>IF(R34=0,,R35/R34*1000)</f>
        <v>52161.300183411455</v>
      </c>
      <c r="S36" s="50"/>
    </row>
    <row r="37" spans="1:19" s="17" customFormat="1" ht="16.5" customHeight="1">
      <c r="A37" s="101" t="s">
        <v>12</v>
      </c>
      <c r="B37" s="30" t="s">
        <v>9</v>
      </c>
      <c r="C37" s="31" t="s">
        <v>1</v>
      </c>
      <c r="D37" s="83">
        <v>10504</v>
      </c>
      <c r="E37" s="51"/>
      <c r="F37" s="51"/>
      <c r="G37" s="51">
        <v>0</v>
      </c>
      <c r="H37" s="51">
        <v>0</v>
      </c>
      <c r="I37" s="80"/>
      <c r="J37" s="70">
        <f>SUM(D37:I37)</f>
        <v>10504</v>
      </c>
      <c r="K37" s="80">
        <v>3021</v>
      </c>
      <c r="L37" s="51">
        <v>3136</v>
      </c>
      <c r="M37" s="51">
        <v>0</v>
      </c>
      <c r="N37" s="51">
        <v>0</v>
      </c>
      <c r="O37" s="51"/>
      <c r="P37" s="80"/>
      <c r="Q37" s="71">
        <f>SUM(K37:P37)</f>
        <v>6157</v>
      </c>
      <c r="R37" s="67">
        <f>Q37+J37</f>
        <v>16661</v>
      </c>
      <c r="S37" s="16"/>
    </row>
    <row r="38" spans="1:19" s="17" customFormat="1" ht="16.5" customHeight="1">
      <c r="A38" s="102"/>
      <c r="B38" s="30" t="s">
        <v>10</v>
      </c>
      <c r="C38" s="31" t="s">
        <v>2</v>
      </c>
      <c r="D38" s="83">
        <v>550480</v>
      </c>
      <c r="E38" s="51"/>
      <c r="F38" s="51"/>
      <c r="G38" s="51">
        <v>0</v>
      </c>
      <c r="H38" s="51">
        <v>0</v>
      </c>
      <c r="I38" s="80"/>
      <c r="J38" s="70">
        <f>SUM(D38:I38)</f>
        <v>550480</v>
      </c>
      <c r="K38" s="81">
        <v>156988</v>
      </c>
      <c r="L38" s="53">
        <v>169712</v>
      </c>
      <c r="M38" s="53">
        <v>0</v>
      </c>
      <c r="N38" s="53">
        <v>0</v>
      </c>
      <c r="O38" s="53"/>
      <c r="P38" s="81"/>
      <c r="Q38" s="70">
        <f>SUM(K38:P38)</f>
        <v>326700</v>
      </c>
      <c r="R38" s="66">
        <f>Q38+J38</f>
        <v>877180</v>
      </c>
      <c r="S38" s="16"/>
    </row>
    <row r="39" spans="1:19" s="17" customFormat="1" ht="16.5" customHeight="1" thickBot="1">
      <c r="A39" s="103"/>
      <c r="B39" s="18" t="s">
        <v>42</v>
      </c>
      <c r="C39" s="32" t="s">
        <v>3</v>
      </c>
      <c r="D39" s="84">
        <f aca="true" t="shared" si="22" ref="D39:I39">IF(D37=0,,D38/D37*1000)</f>
        <v>52406.70220868241</v>
      </c>
      <c r="E39" s="52">
        <f t="shared" si="22"/>
        <v>0</v>
      </c>
      <c r="F39" s="52">
        <f t="shared" si="22"/>
        <v>0</v>
      </c>
      <c r="G39" s="52">
        <f t="shared" si="22"/>
        <v>0</v>
      </c>
      <c r="H39" s="52">
        <f t="shared" si="22"/>
        <v>0</v>
      </c>
      <c r="I39" s="82">
        <f t="shared" si="22"/>
        <v>0</v>
      </c>
      <c r="J39" s="69">
        <f aca="true" t="shared" si="23" ref="J39:P39">IF(J37=0,,J38/J37*1000)</f>
        <v>52406.70220868241</v>
      </c>
      <c r="K39" s="82">
        <f t="shared" si="23"/>
        <v>51965.57431314135</v>
      </c>
      <c r="L39" s="52">
        <f t="shared" si="23"/>
        <v>54117.34693877551</v>
      </c>
      <c r="M39" s="52">
        <f t="shared" si="23"/>
        <v>0</v>
      </c>
      <c r="N39" s="52">
        <f t="shared" si="23"/>
        <v>0</v>
      </c>
      <c r="O39" s="52">
        <f t="shared" si="23"/>
        <v>0</v>
      </c>
      <c r="P39" s="82">
        <f t="shared" si="23"/>
        <v>0</v>
      </c>
      <c r="Q39" s="69">
        <f>IF(Q37=0,,Q38/Q37*1000)</f>
        <v>53061.5559525743</v>
      </c>
      <c r="R39" s="65">
        <f>IF(R37=0,,R38/R37*1000)</f>
        <v>52648.70055818979</v>
      </c>
      <c r="S39" s="50"/>
    </row>
    <row r="40" spans="1:19" s="17" customFormat="1" ht="16.5" customHeight="1">
      <c r="A40" s="101" t="s">
        <v>4</v>
      </c>
      <c r="B40" s="30" t="s">
        <v>9</v>
      </c>
      <c r="C40" s="31" t="s">
        <v>1</v>
      </c>
      <c r="D40" s="59">
        <f aca="true" t="shared" si="24" ref="D40:I41">D4+D7+D10+D13+D16+D19+D22+D25+D28+D31+D34+D37</f>
        <v>129626</v>
      </c>
      <c r="E40" s="51">
        <f t="shared" si="24"/>
        <v>170897</v>
      </c>
      <c r="F40" s="54">
        <f t="shared" si="24"/>
        <v>173207</v>
      </c>
      <c r="G40" s="54">
        <f t="shared" si="24"/>
        <v>73681</v>
      </c>
      <c r="H40" s="51">
        <f t="shared" si="24"/>
        <v>179874</v>
      </c>
      <c r="I40" s="63">
        <f t="shared" si="24"/>
        <v>166493</v>
      </c>
      <c r="J40" s="71">
        <f aca="true" t="shared" si="25" ref="J40:R41">J4+J7+J10+J13+J16+J19+J22+J25+J28+J31+J34+J37</f>
        <v>893778</v>
      </c>
      <c r="K40" s="67">
        <f t="shared" si="25"/>
        <v>100535</v>
      </c>
      <c r="L40" s="54">
        <f t="shared" si="25"/>
        <v>45386</v>
      </c>
      <c r="M40" s="54">
        <f t="shared" si="25"/>
        <v>43434</v>
      </c>
      <c r="N40" s="54">
        <f t="shared" si="25"/>
        <v>40950</v>
      </c>
      <c r="O40" s="54">
        <f t="shared" si="25"/>
        <v>2369</v>
      </c>
      <c r="P40" s="63">
        <f t="shared" si="25"/>
        <v>32263</v>
      </c>
      <c r="Q40" s="71">
        <f t="shared" si="25"/>
        <v>264937</v>
      </c>
      <c r="R40" s="67">
        <f t="shared" si="25"/>
        <v>1158715</v>
      </c>
      <c r="S40" s="16"/>
    </row>
    <row r="41" spans="1:19" s="17" customFormat="1" ht="16.5" customHeight="1">
      <c r="A41" s="102"/>
      <c r="B41" s="30" t="s">
        <v>10</v>
      </c>
      <c r="C41" s="31" t="s">
        <v>2</v>
      </c>
      <c r="D41" s="58">
        <f t="shared" si="24"/>
        <v>5541678</v>
      </c>
      <c r="E41" s="51">
        <f t="shared" si="24"/>
        <v>7329219</v>
      </c>
      <c r="F41" s="53">
        <f t="shared" si="24"/>
        <v>8302575</v>
      </c>
      <c r="G41" s="53">
        <f t="shared" si="24"/>
        <v>3911847</v>
      </c>
      <c r="H41" s="51">
        <f t="shared" si="24"/>
        <v>9873311</v>
      </c>
      <c r="I41" s="62">
        <f t="shared" si="24"/>
        <v>9084918</v>
      </c>
      <c r="J41" s="70">
        <f t="shared" si="25"/>
        <v>44043548</v>
      </c>
      <c r="K41" s="66">
        <f t="shared" si="25"/>
        <v>5384368</v>
      </c>
      <c r="L41" s="53">
        <f t="shared" si="25"/>
        <v>2447647</v>
      </c>
      <c r="M41" s="53">
        <f t="shared" si="25"/>
        <v>2642759</v>
      </c>
      <c r="N41" s="53">
        <f t="shared" si="25"/>
        <v>2601535</v>
      </c>
      <c r="O41" s="53">
        <f t="shared" si="25"/>
        <v>149392</v>
      </c>
      <c r="P41" s="62">
        <f t="shared" si="25"/>
        <v>2284151</v>
      </c>
      <c r="Q41" s="70">
        <f t="shared" si="25"/>
        <v>15509852</v>
      </c>
      <c r="R41" s="66">
        <f t="shared" si="25"/>
        <v>59553400</v>
      </c>
      <c r="S41" s="16"/>
    </row>
    <row r="42" spans="1:19" s="17" customFormat="1" ht="16.5" customHeight="1" thickBot="1">
      <c r="A42" s="103"/>
      <c r="B42" s="18" t="s">
        <v>42</v>
      </c>
      <c r="C42" s="32" t="s">
        <v>3</v>
      </c>
      <c r="D42" s="57">
        <f aca="true" t="shared" si="26" ref="D42:I42">IF(D40=0,,D41/D40*1000)</f>
        <v>42751.28446453643</v>
      </c>
      <c r="E42" s="52">
        <f t="shared" si="26"/>
        <v>42886.76220179407</v>
      </c>
      <c r="F42" s="52">
        <f t="shared" si="26"/>
        <v>47934.407962726684</v>
      </c>
      <c r="G42" s="52">
        <f t="shared" si="26"/>
        <v>53091.66542256484</v>
      </c>
      <c r="H42" s="52">
        <f t="shared" si="26"/>
        <v>54890.150883396156</v>
      </c>
      <c r="I42" s="61">
        <f t="shared" si="26"/>
        <v>54566.36615353198</v>
      </c>
      <c r="J42" s="69">
        <f aca="true" t="shared" si="27" ref="J42:R42">IF(J40=0,,J41/J40*1000)</f>
        <v>49277.95045302077</v>
      </c>
      <c r="K42" s="65">
        <f t="shared" si="27"/>
        <v>53557.149251504445</v>
      </c>
      <c r="L42" s="52">
        <f t="shared" si="27"/>
        <v>53929.55977614243</v>
      </c>
      <c r="M42" s="52">
        <f t="shared" si="27"/>
        <v>60845.39761477184</v>
      </c>
      <c r="N42" s="52">
        <f t="shared" si="27"/>
        <v>63529.548229548236</v>
      </c>
      <c r="O42" s="52">
        <f t="shared" si="27"/>
        <v>63061.207260447445</v>
      </c>
      <c r="P42" s="61">
        <f t="shared" si="27"/>
        <v>70797.84892911384</v>
      </c>
      <c r="Q42" s="69">
        <f t="shared" si="27"/>
        <v>58541.66084767322</v>
      </c>
      <c r="R42" s="65">
        <f t="shared" si="27"/>
        <v>51396.072373275565</v>
      </c>
      <c r="S42" s="46"/>
    </row>
    <row r="43" spans="1:19" s="17" customFormat="1" ht="24" customHeight="1" thickBot="1">
      <c r="A43" s="108" t="s">
        <v>13</v>
      </c>
      <c r="B43" s="109"/>
      <c r="C43" s="116"/>
      <c r="D43" s="74">
        <f>'総合計'!D43</f>
        <v>98.82</v>
      </c>
      <c r="E43" s="75">
        <f>'総合計'!E43</f>
        <v>97.81</v>
      </c>
      <c r="F43" s="75">
        <f>'総合計'!F43</f>
        <v>96.17</v>
      </c>
      <c r="G43" s="75">
        <f>'総合計'!G43</f>
        <v>95.09</v>
      </c>
      <c r="H43" s="75">
        <f>'総合計'!H43</f>
        <v>94.97</v>
      </c>
      <c r="I43" s="76">
        <f>'総合計'!I43</f>
        <v>93.05</v>
      </c>
      <c r="J43" s="77">
        <f>'総合計'!J43</f>
        <v>95.92</v>
      </c>
      <c r="K43" s="78">
        <f>'総合計'!K43</f>
        <v>89.99</v>
      </c>
      <c r="L43" s="75">
        <f>'総合計'!L43</f>
        <v>90.61</v>
      </c>
      <c r="M43" s="75">
        <f>'総合計'!M43</f>
        <v>88.33</v>
      </c>
      <c r="N43" s="75">
        <f>'総合計'!N43</f>
        <v>91.61</v>
      </c>
      <c r="O43" s="75">
        <f>'総合計'!O43</f>
        <v>90.22</v>
      </c>
      <c r="P43" s="76">
        <f>'総合計'!P43</f>
        <v>90.11</v>
      </c>
      <c r="Q43" s="77">
        <f>'総合計'!Q43</f>
        <v>90.16</v>
      </c>
      <c r="R43" s="79">
        <f>'総合計'!R43</f>
        <v>92.97</v>
      </c>
      <c r="S43" s="16"/>
    </row>
    <row r="44" ht="12.75">
      <c r="A44" s="97" t="str">
        <f>'総合計'!A53</f>
        <v>※数値はすべて確定値。</v>
      </c>
    </row>
  </sheetData>
  <mergeCells count="15">
    <mergeCell ref="D1:P1"/>
    <mergeCell ref="A4:A6"/>
    <mergeCell ref="A7:A9"/>
    <mergeCell ref="A10:A12"/>
    <mergeCell ref="A13:A15"/>
    <mergeCell ref="A16:A18"/>
    <mergeCell ref="A19:A21"/>
    <mergeCell ref="A22:A24"/>
    <mergeCell ref="A37:A39"/>
    <mergeCell ref="A40:A42"/>
    <mergeCell ref="A43:C43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71" r:id="rId2"/>
  <headerFooter alignWithMargins="0">
    <oddFooter>&amp;C&amp;20-9-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 登</dc:creator>
  <cp:keywords/>
  <dc:description/>
  <cp:lastModifiedBy>HP Customer</cp:lastModifiedBy>
  <cp:lastPrinted>2010-02-26T09:02:46Z</cp:lastPrinted>
  <dcterms:created xsi:type="dcterms:W3CDTF">1998-08-05T13:54:29Z</dcterms:created>
  <dcterms:modified xsi:type="dcterms:W3CDTF">2011-03-22T04:58:15Z</dcterms:modified>
  <cp:category/>
  <cp:version/>
  <cp:contentType/>
  <cp:contentStatus/>
</cp:coreProperties>
</file>