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tabRatio="687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'B一般'!$A$2:$R$45</definedName>
    <definedName name="_xlnm.Print_Area" localSheetId="4">'B原料'!$A$2:$R$45</definedName>
    <definedName name="_xlnm.Print_Area" localSheetId="5">'B合計'!$A$2:$R$45</definedName>
    <definedName name="_xlnm.Print_Area" localSheetId="0">'P一般'!$A$2:$R$45</definedName>
    <definedName name="_xlnm.Print_Area" localSheetId="1">'P原料'!$A$2:$R$45</definedName>
    <definedName name="_xlnm.Print_Area" localSheetId="2">'P合計'!$A$2:$R$45</definedName>
    <definedName name="_xlnm.Print_Area" localSheetId="7">'一般計'!$A$2:$R$45</definedName>
    <definedName name="_xlnm.Print_Area" localSheetId="6">'液化石油ガス'!$A$2:$R$45</definedName>
    <definedName name="_xlnm.Print_Area" localSheetId="8">'原料計'!$A$2:$R$45</definedName>
    <definedName name="_xlnm.Print_Area" localSheetId="9">'総合計'!$A$2:$R$54</definedName>
  </definedNames>
  <calcPr fullCalcOnLoad="1"/>
</workbook>
</file>

<file path=xl/sharedStrings.xml><?xml version="1.0" encoding="utf-8"?>
<sst xmlns="http://schemas.openxmlformats.org/spreadsheetml/2006/main" count="1143" uniqueCount="80">
  <si>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</si>
  <si>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</si>
  <si>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</si>
  <si>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</si>
  <si>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</si>
  <si>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</si>
  <si>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</si>
  <si>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</si>
  <si>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</si>
  <si>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</si>
  <si>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</si>
  <si>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</si>
  <si>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</si>
  <si>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</si>
  <si>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</si>
  <si>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</si>
  <si>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</si>
  <si>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</si>
  <si>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</si>
  <si>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</si>
  <si>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</si>
  <si>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</si>
  <si>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</si>
  <si>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</si>
  <si>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</si>
  <si>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</si>
  <si>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</si>
  <si>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</si>
  <si>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</si>
  <si>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</si>
  <si>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</si>
  <si>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</si>
  <si>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</si>
  <si>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</si>
  <si>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</si>
  <si>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</si>
  <si>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</si>
  <si>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</si>
  <si>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</si>
  <si>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</si>
  <si>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</si>
  <si>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</si>
  <si>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</si>
  <si>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</si>
  <si>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</si>
  <si>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</si>
  <si>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</si>
  <si>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</si>
  <si>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</si>
  <si>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</si>
  <si>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</si>
  <si>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</si>
  <si>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</si>
  <si>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</si>
  <si>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</si>
  <si>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</si>
  <si>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</si>
  <si>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</si>
  <si>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</si>
  <si>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</si>
  <si>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</si>
  <si>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</si>
  <si>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</si>
  <si>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</si>
  <si>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</si>
  <si>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</si>
  <si>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</si>
  <si>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</si>
  <si>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</si>
  <si>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</si>
  <si>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</si>
  <si>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</si>
  <si>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</si>
  <si>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</si>
  <si>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（電力除く）</t>
  </si>
  <si>
    <t>(電力除く）</t>
  </si>
  <si>
    <t>原料用</t>
  </si>
  <si>
    <t>2711.12-010</t>
  </si>
  <si>
    <r>
      <t>2005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</t>
    </r>
    <r>
      <rPr>
        <sz val="20"/>
        <rFont val="ＭＳ ゴシック"/>
        <family val="3"/>
      </rPr>
      <t>ガス</t>
    </r>
    <r>
      <rPr>
        <sz val="20"/>
        <rFont val="Arial"/>
        <family val="2"/>
      </rPr>
      <t xml:space="preserve"> CIF</t>
    </r>
    <r>
      <rPr>
        <sz val="20"/>
        <rFont val="ＭＳ ゴシック"/>
        <family val="3"/>
      </rPr>
      <t>価格</t>
    </r>
  </si>
  <si>
    <t>＊）最新月は速報値。12月までは確定値。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</si>
</sst>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0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8" fontId="3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7" fillId="0" borderId="2" xfId="17" applyFont="1" applyBorder="1" applyAlignment="1" applyProtection="1">
      <alignment horizontal="center" vertical="distributed"/>
      <protection/>
    </xf>
    <xf numFmtId="38" fontId="7" fillId="0" borderId="3" xfId="17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7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/>
      <protection/>
    </xf>
    <xf numFmtId="38" fontId="3" fillId="0" borderId="6" xfId="17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/>
      <protection/>
    </xf>
    <xf numFmtId="38" fontId="3" fillId="0" borderId="9" xfId="17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/>
      <protection/>
    </xf>
    <xf numFmtId="38" fontId="3" fillId="0" borderId="1" xfId="17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/>
      <protection/>
    </xf>
    <xf numFmtId="38" fontId="3" fillId="0" borderId="12" xfId="17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3" fillId="0" borderId="2" xfId="17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5" xfId="17" applyFon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3" fillId="0" borderId="12" xfId="17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9" xfId="0" applyNumberFormat="1" applyFont="1" applyBorder="1" applyAlignment="1" applyProtection="1">
      <alignment vertical="center"/>
      <protection/>
    </xf>
    <xf numFmtId="2" fontId="16" fillId="0" borderId="1" xfId="0" applyNumberFormat="1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4" fillId="0" borderId="2" xfId="17" applyFont="1" applyBorder="1" applyAlignment="1" applyProtection="1">
      <alignment vertical="center"/>
      <protection locked="0"/>
    </xf>
    <xf numFmtId="38" fontId="4" fillId="0" borderId="1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40" fontId="16" fillId="0" borderId="3" xfId="17" applyNumberFormat="1" applyFont="1" applyBorder="1" applyAlignment="1" applyProtection="1">
      <alignment vertical="center"/>
      <protection/>
    </xf>
    <xf numFmtId="40" fontId="16" fillId="0" borderId="12" xfId="17" applyNumberFormat="1" applyFont="1" applyBorder="1" applyAlignment="1" applyProtection="1">
      <alignment vertical="center"/>
      <protection/>
    </xf>
    <xf numFmtId="40" fontId="16" fillId="0" borderId="1" xfId="17" applyNumberFormat="1" applyFont="1" applyBorder="1" applyAlignment="1" applyProtection="1">
      <alignment vertical="center"/>
      <protection/>
    </xf>
    <xf numFmtId="40" fontId="16" fillId="0" borderId="9" xfId="17" applyNumberFormat="1" applyFont="1" applyBorder="1" applyAlignment="1" applyProtection="1">
      <alignment vertical="center"/>
      <protection/>
    </xf>
    <xf numFmtId="40" fontId="16" fillId="0" borderId="6" xfId="17" applyNumberFormat="1" applyFont="1" applyBorder="1" applyAlignment="1" applyProtection="1">
      <alignment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2" fontId="16" fillId="0" borderId="6" xfId="0" applyNumberFormat="1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 applyProtection="1">
      <alignment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2" fontId="16" fillId="0" borderId="9" xfId="0" applyNumberFormat="1" applyFont="1" applyBorder="1" applyAlignment="1" applyProtection="1">
      <alignment vertical="center"/>
      <protection locked="0"/>
    </xf>
    <xf numFmtId="39" fontId="16" fillId="0" borderId="12" xfId="0" applyNumberFormat="1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/>
      <protection/>
    </xf>
    <xf numFmtId="38" fontId="4" fillId="0" borderId="11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8" xfId="17" applyFont="1" applyBorder="1" applyAlignment="1" applyProtection="1">
      <alignment/>
      <protection/>
    </xf>
    <xf numFmtId="38" fontId="4" fillId="0" borderId="5" xfId="17" applyFont="1" applyBorder="1" applyAlignment="1" applyProtection="1">
      <alignment/>
      <protection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/>
    </xf>
    <xf numFmtId="38" fontId="4" fillId="0" borderId="20" xfId="17" applyFont="1" applyBorder="1" applyAlignment="1" applyProtection="1">
      <alignment/>
      <protection/>
    </xf>
    <xf numFmtId="38" fontId="4" fillId="0" borderId="2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5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 quotePrefix="1">
      <alignment horizontal="right" vertical="center"/>
      <protection/>
    </xf>
    <xf numFmtId="38" fontId="4" fillId="0" borderId="11" xfId="17" applyFont="1" applyBorder="1" applyAlignment="1" applyProtection="1" quotePrefix="1">
      <alignment horizontal="right" vertical="center"/>
      <protection locked="0"/>
    </xf>
    <xf numFmtId="4" fontId="16" fillId="0" borderId="12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 locked="0"/>
    </xf>
    <xf numFmtId="38" fontId="3" fillId="0" borderId="11" xfId="17" applyFont="1" applyBorder="1" applyAlignment="1" applyProtection="1">
      <alignment horizontal="center" vertical="center"/>
      <protection locked="0"/>
    </xf>
    <xf numFmtId="38" fontId="3" fillId="0" borderId="0" xfId="17" applyFont="1" applyBorder="1" applyAlignment="1" applyProtection="1">
      <alignment horizontal="center" vertical="center"/>
      <protection locked="0"/>
    </xf>
    <xf numFmtId="38" fontId="3" fillId="0" borderId="8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horizontal="right" vertical="center"/>
      <protection/>
    </xf>
    <xf numFmtId="38" fontId="3" fillId="0" borderId="12" xfId="17" applyFont="1" applyBorder="1" applyAlignment="1" applyProtection="1">
      <alignment horizontal="right" vertical="center"/>
      <protection/>
    </xf>
    <xf numFmtId="38" fontId="3" fillId="0" borderId="1" xfId="17" applyFont="1" applyBorder="1" applyAlignment="1" applyProtection="1">
      <alignment horizontal="right" vertical="center"/>
      <protection/>
    </xf>
    <xf numFmtId="38" fontId="3" fillId="0" borderId="9" xfId="17" applyFont="1" applyBorder="1" applyAlignment="1" applyProtection="1">
      <alignment horizontal="right" vertical="center"/>
      <protection/>
    </xf>
    <xf numFmtId="4" fontId="16" fillId="0" borderId="12" xfId="0" applyNumberFormat="1" applyFont="1" applyBorder="1" applyAlignment="1" applyProtection="1">
      <alignment vertical="center"/>
      <protection locked="0"/>
    </xf>
    <xf numFmtId="38" fontId="19" fillId="0" borderId="11" xfId="17" applyFont="1" applyBorder="1" applyAlignment="1" applyProtection="1">
      <alignment vertical="center"/>
      <protection locked="0"/>
    </xf>
    <xf numFmtId="38" fontId="19" fillId="0" borderId="12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 vertical="center"/>
      <protection/>
    </xf>
    <xf numFmtId="38" fontId="19" fillId="0" borderId="0" xfId="17" applyFont="1" applyBorder="1" applyAlignment="1" applyProtection="1">
      <alignment vertical="center"/>
      <protection locked="0"/>
    </xf>
    <xf numFmtId="38" fontId="19" fillId="0" borderId="8" xfId="17" applyFont="1" applyBorder="1" applyAlignment="1" applyProtection="1">
      <alignment vertical="center"/>
      <protection/>
    </xf>
    <xf numFmtId="38" fontId="19" fillId="0" borderId="1" xfId="17" applyFont="1" applyBorder="1" applyAlignment="1" applyProtection="1">
      <alignment vertical="center"/>
      <protection/>
    </xf>
    <xf numFmtId="38" fontId="19" fillId="0" borderId="9" xfId="17" applyFont="1" applyBorder="1" applyAlignment="1" applyProtection="1">
      <alignment vertical="center"/>
      <protection/>
    </xf>
    <xf numFmtId="38" fontId="19" fillId="0" borderId="5" xfId="17" applyFont="1" applyBorder="1" applyAlignment="1" applyProtection="1">
      <alignment vertical="center"/>
      <protection/>
    </xf>
    <xf numFmtId="38" fontId="19" fillId="0" borderId="6" xfId="17" applyFont="1" applyBorder="1" applyAlignment="1" applyProtection="1">
      <alignment vertical="center"/>
      <protection/>
    </xf>
    <xf numFmtId="38" fontId="19" fillId="0" borderId="5" xfId="17" applyFont="1" applyFill="1" applyBorder="1" applyAlignment="1" applyProtection="1">
      <alignment vertical="center"/>
      <protection/>
    </xf>
    <xf numFmtId="38" fontId="19" fillId="0" borderId="6" xfId="17" applyFont="1" applyFill="1" applyBorder="1" applyAlignment="1" applyProtection="1">
      <alignment vertical="center"/>
      <protection/>
    </xf>
    <xf numFmtId="38" fontId="19" fillId="0" borderId="0" xfId="17" applyFont="1" applyBorder="1" applyAlignment="1" applyProtection="1">
      <alignment vertical="center"/>
      <protection/>
    </xf>
    <xf numFmtId="38" fontId="19" fillId="0" borderId="2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/>
      <protection/>
    </xf>
    <xf numFmtId="38" fontId="19" fillId="0" borderId="0" xfId="17" applyFont="1" applyBorder="1" applyAlignment="1" applyProtection="1">
      <alignment/>
      <protection/>
    </xf>
    <xf numFmtId="38" fontId="19" fillId="0" borderId="8" xfId="17" applyFont="1" applyBorder="1" applyAlignment="1" applyProtection="1">
      <alignment/>
      <protection/>
    </xf>
    <xf numFmtId="38" fontId="19" fillId="0" borderId="12" xfId="17" applyFont="1" applyBorder="1" applyAlignment="1" applyProtection="1">
      <alignment/>
      <protection/>
    </xf>
    <xf numFmtId="38" fontId="19" fillId="0" borderId="1" xfId="17" applyFont="1" applyBorder="1" applyAlignment="1" applyProtection="1">
      <alignment/>
      <protection/>
    </xf>
    <xf numFmtId="38" fontId="19" fillId="0" borderId="9" xfId="17" applyFont="1" applyBorder="1" applyAlignment="1" applyProtection="1">
      <alignment/>
      <protection/>
    </xf>
    <xf numFmtId="38" fontId="19" fillId="0" borderId="5" xfId="17" applyFont="1" applyBorder="1" applyAlignment="1" applyProtection="1">
      <alignment/>
      <protection/>
    </xf>
    <xf numFmtId="38" fontId="19" fillId="0" borderId="6" xfId="17" applyFont="1" applyBorder="1" applyAlignment="1" applyProtection="1">
      <alignment/>
      <protection/>
    </xf>
    <xf numFmtId="38" fontId="7" fillId="0" borderId="15" xfId="17" applyFont="1" applyBorder="1" applyAlignment="1" applyProtection="1">
      <alignment horizontal="center" vertical="center"/>
      <protection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6" fillId="0" borderId="1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21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38" fontId="12" fillId="0" borderId="22" xfId="0" applyNumberFormat="1" applyFont="1" applyBorder="1" applyAlignment="1">
      <alignment horizontal="center" vertical="center"/>
    </xf>
    <xf numFmtId="38" fontId="12" fillId="0" borderId="15" xfId="0" applyNumberFormat="1" applyFont="1" applyBorder="1" applyAlignment="1">
      <alignment horizontal="center" vertical="center"/>
    </xf>
    <xf numFmtId="38" fontId="12" fillId="0" borderId="21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38" fontId="12" fillId="0" borderId="15" xfId="17" applyFont="1" applyBorder="1" applyAlignment="1" applyProtection="1">
      <alignment horizontal="center" vertical="center"/>
      <protection/>
    </xf>
    <xf numFmtId="38" fontId="12" fillId="0" borderId="16" xfId="17" applyFont="1" applyBorder="1" applyAlignment="1" applyProtection="1">
      <alignment horizontal="center" vertical="center"/>
      <protection/>
    </xf>
    <xf numFmtId="58" fontId="14" fillId="0" borderId="1" xfId="0" applyNumberFormat="1" applyFont="1" applyBorder="1" applyAlignment="1" applyProtection="1">
      <alignment horizontal="center" vertical="top"/>
      <protection/>
    </xf>
    <xf numFmtId="0" fontId="14" fillId="0" borderId="1" xfId="0" applyFont="1" applyBorder="1" applyAlignment="1" applyProtection="1">
      <alignment horizontal="center" vertical="top"/>
      <protection/>
    </xf>
    <xf numFmtId="38" fontId="7" fillId="0" borderId="14" xfId="17" applyFont="1" applyBorder="1" applyAlignment="1" applyProtection="1">
      <alignment horizontal="center" vertical="center" wrapText="1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7" fillId="0" borderId="23" xfId="17" applyFont="1" applyBorder="1" applyAlignment="1" applyProtection="1">
      <alignment horizontal="center" vertical="center"/>
      <protection/>
    </xf>
    <xf numFmtId="38" fontId="7" fillId="0" borderId="24" xfId="17" applyFont="1" applyBorder="1" applyAlignment="1" applyProtection="1">
      <alignment horizontal="center" vertical="center"/>
      <protection/>
    </xf>
    <xf numFmtId="38" fontId="7" fillId="0" borderId="4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5" zoomScaleNormal="75" workbookViewId="0" topLeftCell="A2">
      <pane xSplit="3" ySplit="3" topLeftCell="E5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2.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0</v>
      </c>
      <c r="B3" s="42" t="s">
        <v>77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0">
        <v>38867</v>
      </c>
      <c r="R3" s="151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66">
        <v>306791</v>
      </c>
      <c r="E5" s="67">
        <v>336872</v>
      </c>
      <c r="F5" s="67">
        <v>447876</v>
      </c>
      <c r="G5" s="67">
        <v>386729</v>
      </c>
      <c r="H5" s="67">
        <v>284388</v>
      </c>
      <c r="I5" s="68">
        <v>303121</v>
      </c>
      <c r="J5" s="108">
        <f>SUM(D5:I5)</f>
        <v>2065777</v>
      </c>
      <c r="K5" s="68">
        <v>320114</v>
      </c>
      <c r="L5" s="67">
        <v>288481</v>
      </c>
      <c r="M5" s="67">
        <v>401312</v>
      </c>
      <c r="N5" s="67">
        <v>445372</v>
      </c>
      <c r="O5" s="67">
        <v>449345</v>
      </c>
      <c r="P5" s="68">
        <v>413819</v>
      </c>
      <c r="Q5" s="108">
        <f>SUM(K5:P5)</f>
        <v>2318443</v>
      </c>
      <c r="R5" s="109">
        <f>J5+Q5</f>
        <v>4384220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66">
        <v>14505962</v>
      </c>
      <c r="E6" s="67">
        <v>16263763</v>
      </c>
      <c r="F6" s="67">
        <v>21597980</v>
      </c>
      <c r="G6" s="67">
        <v>18203288</v>
      </c>
      <c r="H6" s="128">
        <v>14012423</v>
      </c>
      <c r="I6" s="131">
        <v>14881374</v>
      </c>
      <c r="J6" s="132">
        <f>SUM(D6:I6)</f>
        <v>99464790</v>
      </c>
      <c r="K6" s="107">
        <v>17343398</v>
      </c>
      <c r="L6" s="106">
        <v>18164353</v>
      </c>
      <c r="M6" s="106">
        <v>27201907</v>
      </c>
      <c r="N6" s="106">
        <v>29961969</v>
      </c>
      <c r="O6" s="106">
        <v>33032527</v>
      </c>
      <c r="P6" s="107">
        <v>30606136</v>
      </c>
      <c r="Q6" s="108">
        <f>SUM(K6:P6)</f>
        <v>156310290</v>
      </c>
      <c r="R6" s="135">
        <f>J6+Q6</f>
        <v>255775080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I7">IF(D5=0,,D6/D5*1000)</f>
        <v>47282.87987587641</v>
      </c>
      <c r="E7" s="56">
        <f t="shared" si="0"/>
        <v>48278.76166615213</v>
      </c>
      <c r="F7" s="56">
        <f t="shared" si="0"/>
        <v>48223.12425760702</v>
      </c>
      <c r="G7" s="56">
        <f t="shared" si="0"/>
        <v>47069.88097608403</v>
      </c>
      <c r="H7" s="129">
        <f t="shared" si="0"/>
        <v>49272.20206197168</v>
      </c>
      <c r="I7" s="133">
        <f t="shared" si="0"/>
        <v>49093.84041356422</v>
      </c>
      <c r="J7" s="134">
        <f>(J6/J5)*1000</f>
        <v>48148.85149752369</v>
      </c>
      <c r="K7" s="57">
        <f aca="true" t="shared" si="1" ref="K7:Q7">IF(K5=0,,K6/K5*1000)</f>
        <v>54178.81754624915</v>
      </c>
      <c r="L7" s="56">
        <f t="shared" si="1"/>
        <v>62965.508993659896</v>
      </c>
      <c r="M7" s="56">
        <f t="shared" si="1"/>
        <v>67782.44109321426</v>
      </c>
      <c r="N7" s="56">
        <f t="shared" si="1"/>
        <v>67274.029350745</v>
      </c>
      <c r="O7" s="56">
        <f t="shared" si="1"/>
        <v>73512.61725400305</v>
      </c>
      <c r="P7" s="57">
        <f t="shared" si="1"/>
        <v>73960.19999081724</v>
      </c>
      <c r="Q7" s="58">
        <f t="shared" si="1"/>
        <v>67420.37220669216</v>
      </c>
      <c r="R7" s="136">
        <f>(R6/R5)*1000</f>
        <v>58339.92819703391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05">
        <v>75264</v>
      </c>
      <c r="E8" s="67">
        <v>117182</v>
      </c>
      <c r="F8" s="67">
        <v>66180</v>
      </c>
      <c r="G8" s="67">
        <v>55672</v>
      </c>
      <c r="H8" s="67">
        <v>105650</v>
      </c>
      <c r="I8" s="68">
        <v>73717</v>
      </c>
      <c r="J8" s="108">
        <f>SUM(D8:I8)</f>
        <v>493665</v>
      </c>
      <c r="K8" s="68">
        <v>54774</v>
      </c>
      <c r="L8" s="67">
        <v>52656</v>
      </c>
      <c r="M8" s="67">
        <v>106296</v>
      </c>
      <c r="N8" s="67">
        <v>140055</v>
      </c>
      <c r="O8" s="67">
        <v>94541</v>
      </c>
      <c r="P8" s="68">
        <v>104638</v>
      </c>
      <c r="Q8" s="108">
        <f>SUM(K8:P8)</f>
        <v>552960</v>
      </c>
      <c r="R8" s="109">
        <f>J8+Q8</f>
        <v>1046625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05">
        <v>3564863</v>
      </c>
      <c r="E9" s="67">
        <v>5600240</v>
      </c>
      <c r="F9" s="67">
        <v>3140127</v>
      </c>
      <c r="G9" s="67">
        <v>2614658</v>
      </c>
      <c r="H9" s="67">
        <v>5073351</v>
      </c>
      <c r="I9" s="68">
        <v>3581024</v>
      </c>
      <c r="J9" s="108">
        <f>SUM(D9:I9)</f>
        <v>23574263</v>
      </c>
      <c r="K9" s="107">
        <v>2889504</v>
      </c>
      <c r="L9" s="106">
        <v>3373964</v>
      </c>
      <c r="M9" s="106">
        <v>7232315</v>
      </c>
      <c r="N9" s="106">
        <v>9385127</v>
      </c>
      <c r="O9" s="106">
        <v>7041323</v>
      </c>
      <c r="P9" s="107">
        <v>7517744</v>
      </c>
      <c r="Q9" s="108">
        <f>SUM(K9:P9)</f>
        <v>37439977</v>
      </c>
      <c r="R9" s="109">
        <f>J9+Q9</f>
        <v>61014240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2" ref="D10:I10">IF(D8=0,,D9/D8*1000)</f>
        <v>47364.78263180272</v>
      </c>
      <c r="E10" s="56">
        <f t="shared" si="2"/>
        <v>47790.957655612634</v>
      </c>
      <c r="F10" s="56">
        <f t="shared" si="2"/>
        <v>47448.27742520399</v>
      </c>
      <c r="G10" s="56">
        <f t="shared" si="2"/>
        <v>46965.40451214255</v>
      </c>
      <c r="H10" s="56">
        <f t="shared" si="2"/>
        <v>48020.35967818268</v>
      </c>
      <c r="I10" s="57">
        <f t="shared" si="2"/>
        <v>48577.994221143024</v>
      </c>
      <c r="J10" s="58">
        <f>(J9/J8)*1000</f>
        <v>47753.56365146405</v>
      </c>
      <c r="K10" s="57">
        <f aca="true" t="shared" si="3" ref="K10:Q10">IF(K8=0,,K9/K8*1000)</f>
        <v>52753.20407492606</v>
      </c>
      <c r="L10" s="56">
        <f t="shared" si="3"/>
        <v>64075.58492859313</v>
      </c>
      <c r="M10" s="56">
        <f t="shared" si="3"/>
        <v>68039.3900052683</v>
      </c>
      <c r="N10" s="56">
        <f t="shared" si="3"/>
        <v>67010.29595516047</v>
      </c>
      <c r="O10" s="56">
        <f t="shared" si="3"/>
        <v>74479.04083942415</v>
      </c>
      <c r="P10" s="57">
        <f t="shared" si="3"/>
        <v>71845.25698121142</v>
      </c>
      <c r="Q10" s="58">
        <f t="shared" si="3"/>
        <v>67708.29173900464</v>
      </c>
      <c r="R10" s="59">
        <f>(R9/R8)*1000</f>
        <v>58296.18058043712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66">
        <v>65263</v>
      </c>
      <c r="E11" s="67">
        <v>31413</v>
      </c>
      <c r="F11" s="67"/>
      <c r="G11" s="67"/>
      <c r="H11" s="67"/>
      <c r="I11" s="68">
        <v>26256</v>
      </c>
      <c r="J11" s="108">
        <f>SUM(D11:I11)</f>
        <v>122932</v>
      </c>
      <c r="K11" s="68">
        <v>14505</v>
      </c>
      <c r="L11" s="67">
        <v>32971</v>
      </c>
      <c r="M11" s="67"/>
      <c r="N11" s="67"/>
      <c r="O11" s="67">
        <v>19043</v>
      </c>
      <c r="P11" s="68">
        <v>92423</v>
      </c>
      <c r="Q11" s="108">
        <f>SUM(K11:P11)</f>
        <v>158942</v>
      </c>
      <c r="R11" s="109">
        <f>J11+Q11</f>
        <v>281874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66">
        <v>3032995</v>
      </c>
      <c r="E12" s="106">
        <v>1528086</v>
      </c>
      <c r="F12" s="106"/>
      <c r="G12" s="106"/>
      <c r="H12" s="106"/>
      <c r="I12" s="68">
        <v>1249613</v>
      </c>
      <c r="J12" s="108">
        <f>SUM(D12:I12)</f>
        <v>5810694</v>
      </c>
      <c r="K12" s="107">
        <v>803079</v>
      </c>
      <c r="L12" s="106">
        <v>1773158</v>
      </c>
      <c r="M12" s="106"/>
      <c r="N12" s="106"/>
      <c r="O12" s="106">
        <v>1518870</v>
      </c>
      <c r="P12" s="107">
        <v>7144286</v>
      </c>
      <c r="Q12" s="108">
        <f>SUM(K12:P12)</f>
        <v>11239393</v>
      </c>
      <c r="R12" s="109">
        <f>J12+Q12</f>
        <v>17050087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4" ref="D13:I13">IF(D11=0,,D12/D11*1000)</f>
        <v>46473.42291957158</v>
      </c>
      <c r="E13" s="56">
        <f t="shared" si="4"/>
        <v>48645.019577881765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47593.42626447288</v>
      </c>
      <c r="J13" s="58">
        <f>(J12/J11)*1000</f>
        <v>47267.54628575147</v>
      </c>
      <c r="K13" s="57">
        <f aca="true" t="shared" si="5" ref="K13:Q13">IF(K11=0,,K12/K11*1000)</f>
        <v>55365.667011375386</v>
      </c>
      <c r="L13" s="56">
        <f t="shared" si="5"/>
        <v>53779.32122167966</v>
      </c>
      <c r="M13" s="56">
        <f t="shared" si="5"/>
        <v>0</v>
      </c>
      <c r="N13" s="56">
        <f t="shared" si="5"/>
        <v>0</v>
      </c>
      <c r="O13" s="56">
        <f t="shared" si="5"/>
        <v>79760.016804075</v>
      </c>
      <c r="P13" s="57">
        <f t="shared" si="5"/>
        <v>77299.87124417082</v>
      </c>
      <c r="Q13" s="58">
        <f t="shared" si="5"/>
        <v>70713.80126083728</v>
      </c>
      <c r="R13" s="59">
        <f>(R12/R11)*1000</f>
        <v>60488.32811823723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66">
        <v>8507</v>
      </c>
      <c r="E14" s="67"/>
      <c r="F14" s="67"/>
      <c r="G14" s="67">
        <v>30763</v>
      </c>
      <c r="H14" s="67"/>
      <c r="I14" s="68"/>
      <c r="J14" s="108">
        <f>SUM(D14:I14)</f>
        <v>39270</v>
      </c>
      <c r="K14" s="68"/>
      <c r="L14" s="67"/>
      <c r="M14" s="67"/>
      <c r="N14" s="67"/>
      <c r="O14" s="67"/>
      <c r="P14" s="68"/>
      <c r="Q14" s="108">
        <f>SUM(K14:P14)</f>
        <v>0</v>
      </c>
      <c r="R14" s="109">
        <f>J14+Q14</f>
        <v>39270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66">
        <v>405166</v>
      </c>
      <c r="E15" s="106"/>
      <c r="F15" s="67"/>
      <c r="G15" s="106">
        <v>1458430</v>
      </c>
      <c r="H15" s="50"/>
      <c r="I15" s="51"/>
      <c r="J15" s="108">
        <f>SUM(D15:I15)</f>
        <v>1863596</v>
      </c>
      <c r="K15" s="51"/>
      <c r="L15" s="50"/>
      <c r="M15" s="50"/>
      <c r="N15" s="50"/>
      <c r="O15" s="50"/>
      <c r="P15" s="107"/>
      <c r="Q15" s="108">
        <f>SUM(K15:P15)</f>
        <v>0</v>
      </c>
      <c r="R15" s="109">
        <f>J15+Q15</f>
        <v>1863596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 aca="true" t="shared" si="6" ref="D16:I16">IF(D14=0,,D15/D14*1000)</f>
        <v>47627.36569883625</v>
      </c>
      <c r="E16" s="56">
        <f t="shared" si="6"/>
        <v>0</v>
      </c>
      <c r="F16" s="56">
        <f t="shared" si="6"/>
        <v>0</v>
      </c>
      <c r="G16" s="56">
        <f t="shared" si="6"/>
        <v>47408.57523648539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47455.97147950089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47455.97147950089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66">
        <v>57912</v>
      </c>
      <c r="E17" s="67">
        <v>138734</v>
      </c>
      <c r="F17" s="67">
        <v>64655</v>
      </c>
      <c r="G17" s="67">
        <v>34190</v>
      </c>
      <c r="H17" s="67">
        <v>58878</v>
      </c>
      <c r="I17" s="68">
        <v>55203</v>
      </c>
      <c r="J17" s="108">
        <f>SUM(D17:I17)</f>
        <v>409572</v>
      </c>
      <c r="K17" s="68">
        <v>96646</v>
      </c>
      <c r="L17" s="67">
        <v>97415</v>
      </c>
      <c r="M17" s="67">
        <v>68308</v>
      </c>
      <c r="N17" s="67">
        <v>53183</v>
      </c>
      <c r="O17" s="67">
        <v>213267</v>
      </c>
      <c r="P17" s="68">
        <v>108763</v>
      </c>
      <c r="Q17" s="108">
        <f>SUM(K17:P17)</f>
        <v>637582</v>
      </c>
      <c r="R17" s="109">
        <f>J17+Q17</f>
        <v>1047154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66">
        <v>2610108</v>
      </c>
      <c r="E18" s="67">
        <v>6733446</v>
      </c>
      <c r="F18" s="67">
        <v>3131805</v>
      </c>
      <c r="G18" s="67">
        <v>1629476</v>
      </c>
      <c r="H18" s="67">
        <v>2881264</v>
      </c>
      <c r="I18" s="131">
        <v>2735196</v>
      </c>
      <c r="J18" s="132">
        <f>SUM(D18:I18)</f>
        <v>19721295</v>
      </c>
      <c r="K18" s="107">
        <v>5309200</v>
      </c>
      <c r="L18" s="106">
        <v>6371170</v>
      </c>
      <c r="M18" s="106">
        <v>4650984</v>
      </c>
      <c r="N18" s="106">
        <v>3621359</v>
      </c>
      <c r="O18" s="106">
        <v>15788177</v>
      </c>
      <c r="P18" s="107">
        <v>8484403</v>
      </c>
      <c r="Q18" s="108">
        <f>SUM(K18:P18)</f>
        <v>44225293</v>
      </c>
      <c r="R18" s="137">
        <f>J18+Q18</f>
        <v>63946588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8" ref="D19:I19">IF(D17=0,,D18/D17*1000)</f>
        <v>45070.24450891007</v>
      </c>
      <c r="E19" s="56">
        <f t="shared" si="8"/>
        <v>48534.937362146266</v>
      </c>
      <c r="F19" s="56">
        <f t="shared" si="8"/>
        <v>48438.71316990179</v>
      </c>
      <c r="G19" s="56">
        <f t="shared" si="8"/>
        <v>47659.4325826265</v>
      </c>
      <c r="H19" s="56">
        <f t="shared" si="8"/>
        <v>48936.173103705965</v>
      </c>
      <c r="I19" s="133">
        <f t="shared" si="8"/>
        <v>49547.95935003533</v>
      </c>
      <c r="J19" s="134">
        <f>(J18/J17)*1000</f>
        <v>48150.984442295856</v>
      </c>
      <c r="K19" s="57">
        <f aca="true" t="shared" si="9" ref="K19:Q19">IF(K17=0,,K18/K17*1000)</f>
        <v>54934.50323862343</v>
      </c>
      <c r="L19" s="56">
        <f t="shared" si="9"/>
        <v>65402.35076733562</v>
      </c>
      <c r="M19" s="56">
        <f t="shared" si="9"/>
        <v>68088.42302512152</v>
      </c>
      <c r="N19" s="56">
        <f t="shared" si="9"/>
        <v>68092.41674971326</v>
      </c>
      <c r="O19" s="56">
        <f t="shared" si="9"/>
        <v>74030.09842122784</v>
      </c>
      <c r="P19" s="57">
        <f t="shared" si="9"/>
        <v>78008.17373555346</v>
      </c>
      <c r="Q19" s="58">
        <f t="shared" si="9"/>
        <v>69364.08650181467</v>
      </c>
      <c r="R19" s="138">
        <f>(R18/R17)*1000</f>
        <v>61067.033120247834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66">
        <f>153339-46171</f>
        <v>107168</v>
      </c>
      <c r="E20" s="67">
        <f>186862-30776</f>
        <v>156086</v>
      </c>
      <c r="F20" s="67">
        <f>169333-22394</f>
        <v>146939</v>
      </c>
      <c r="G20" s="67">
        <v>141739</v>
      </c>
      <c r="H20" s="67">
        <f>192573-33648</f>
        <v>158925</v>
      </c>
      <c r="I20" s="68">
        <f>205822-20821</f>
        <v>185001</v>
      </c>
      <c r="J20" s="108">
        <f>SUM(D20:I20)</f>
        <v>895858</v>
      </c>
      <c r="K20" s="68">
        <v>82449</v>
      </c>
      <c r="L20" s="67">
        <f>176944-30928</f>
        <v>146016</v>
      </c>
      <c r="M20" s="67">
        <v>272526</v>
      </c>
      <c r="N20" s="67">
        <f>263258-20928</f>
        <v>242330</v>
      </c>
      <c r="O20" s="67">
        <f>136098-32301</f>
        <v>103797</v>
      </c>
      <c r="P20" s="68">
        <v>275480</v>
      </c>
      <c r="Q20" s="108">
        <f>SUM(K20:P20)</f>
        <v>1122598</v>
      </c>
      <c r="R20" s="109">
        <f>J20+Q20</f>
        <v>2018456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66">
        <f>6093023-1469127</f>
        <v>4623896</v>
      </c>
      <c r="E21" s="67">
        <f>8301518-1040730</f>
        <v>7260788</v>
      </c>
      <c r="F21" s="67">
        <f>7853742-720262</f>
        <v>7133480</v>
      </c>
      <c r="G21" s="67">
        <v>6758499</v>
      </c>
      <c r="H21" s="67">
        <f>8190371-1181649</f>
        <v>7008722</v>
      </c>
      <c r="I21" s="68">
        <f>9687882-762707</f>
        <v>8925175</v>
      </c>
      <c r="J21" s="108">
        <f>SUM(D21:I21)</f>
        <v>41710560</v>
      </c>
      <c r="K21" s="139">
        <v>4290174</v>
      </c>
      <c r="L21" s="106">
        <f>10337458-1445118</f>
        <v>8892340</v>
      </c>
      <c r="M21" s="106">
        <v>18488179</v>
      </c>
      <c r="N21" s="106">
        <f>17107490-746144</f>
        <v>16361346</v>
      </c>
      <c r="O21" s="106">
        <f>8675242-1136559</f>
        <v>7538683</v>
      </c>
      <c r="P21" s="107">
        <v>19129080</v>
      </c>
      <c r="Q21" s="132">
        <f>SUM(K21:P21)</f>
        <v>74699802</v>
      </c>
      <c r="R21" s="135">
        <f>J21+Q21</f>
        <v>116410362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10" ref="D22:I22">IF(D20=0,,D21/D20*1000)</f>
        <v>43146.237682890416</v>
      </c>
      <c r="E22" s="56">
        <f t="shared" si="10"/>
        <v>46517.86835462502</v>
      </c>
      <c r="F22" s="56">
        <f t="shared" si="10"/>
        <v>48547.22027508014</v>
      </c>
      <c r="G22" s="56">
        <f t="shared" si="10"/>
        <v>47682.70553623209</v>
      </c>
      <c r="H22" s="56">
        <f t="shared" si="10"/>
        <v>44100.81484977191</v>
      </c>
      <c r="I22" s="57">
        <f t="shared" si="10"/>
        <v>48243.928411197776</v>
      </c>
      <c r="J22" s="58">
        <f>(J21/J20)*1000</f>
        <v>46559.34311018041</v>
      </c>
      <c r="K22" s="133">
        <f aca="true" t="shared" si="11" ref="K22:Q22">IF(K20=0,,K21/K20*1000)</f>
        <v>52034.275734090166</v>
      </c>
      <c r="L22" s="56">
        <f t="shared" si="11"/>
        <v>60899.76440937979</v>
      </c>
      <c r="M22" s="56">
        <f t="shared" si="11"/>
        <v>67840.05562771992</v>
      </c>
      <c r="N22" s="56">
        <f t="shared" si="11"/>
        <v>67516.799405769</v>
      </c>
      <c r="O22" s="56">
        <f t="shared" si="11"/>
        <v>72629.10296058653</v>
      </c>
      <c r="P22" s="57">
        <f t="shared" si="11"/>
        <v>69439.08813706985</v>
      </c>
      <c r="Q22" s="134">
        <f t="shared" si="11"/>
        <v>66541.89834651408</v>
      </c>
      <c r="R22" s="136">
        <f>(R21/R20)*1000</f>
        <v>57672.97478865034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66">
        <v>63718</v>
      </c>
      <c r="E23" s="67">
        <v>52657</v>
      </c>
      <c r="F23" s="67">
        <v>41529</v>
      </c>
      <c r="G23" s="67">
        <v>36589</v>
      </c>
      <c r="H23" s="67">
        <v>21028</v>
      </c>
      <c r="I23" s="68">
        <v>27834</v>
      </c>
      <c r="J23" s="108">
        <f>SUM(D23:I23)</f>
        <v>243355</v>
      </c>
      <c r="K23" s="68">
        <v>53013</v>
      </c>
      <c r="L23" s="67">
        <v>30911</v>
      </c>
      <c r="M23" s="67">
        <v>64564</v>
      </c>
      <c r="N23" s="67">
        <v>2031</v>
      </c>
      <c r="O23" s="67">
        <v>53132</v>
      </c>
      <c r="P23" s="68">
        <v>51915</v>
      </c>
      <c r="Q23" s="108">
        <f>SUM(K23:P23)</f>
        <v>255566</v>
      </c>
      <c r="R23" s="109">
        <f>J23+Q23</f>
        <v>498921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66">
        <v>3110790</v>
      </c>
      <c r="E24" s="67">
        <v>2547865</v>
      </c>
      <c r="F24" s="67">
        <v>1947034</v>
      </c>
      <c r="G24" s="67">
        <v>1757954</v>
      </c>
      <c r="H24" s="67">
        <v>1049375</v>
      </c>
      <c r="I24" s="68">
        <v>1352263</v>
      </c>
      <c r="J24" s="108">
        <f>SUM(D24:I24)</f>
        <v>11765281</v>
      </c>
      <c r="K24" s="107">
        <v>2939624</v>
      </c>
      <c r="L24" s="106">
        <v>1835649</v>
      </c>
      <c r="M24" s="106">
        <v>4352921</v>
      </c>
      <c r="N24" s="106">
        <v>128533</v>
      </c>
      <c r="O24" s="106">
        <v>4033042</v>
      </c>
      <c r="P24" s="107">
        <v>3822078</v>
      </c>
      <c r="Q24" s="108">
        <f>SUM(K24:P24)</f>
        <v>17111847</v>
      </c>
      <c r="R24" s="109">
        <f>J24+Q24</f>
        <v>28877128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12" ref="D25:I25">IF(D23=0,,D24/D23*1000)</f>
        <v>48821.2122163282</v>
      </c>
      <c r="E25" s="56">
        <f t="shared" si="12"/>
        <v>48386.06453083161</v>
      </c>
      <c r="F25" s="56">
        <f t="shared" si="12"/>
        <v>46883.719810253075</v>
      </c>
      <c r="G25" s="56">
        <f t="shared" si="12"/>
        <v>48045.97010030337</v>
      </c>
      <c r="H25" s="56">
        <f t="shared" si="12"/>
        <v>49903.6998287997</v>
      </c>
      <c r="I25" s="57">
        <f t="shared" si="12"/>
        <v>48583.135733275856</v>
      </c>
      <c r="J25" s="58">
        <f>(J24/J23)*1000</f>
        <v>48346.16506749399</v>
      </c>
      <c r="K25" s="57">
        <f aca="true" t="shared" si="13" ref="K25:Q25">IF(K23=0,,K24/K23*1000)</f>
        <v>55451.00258427178</v>
      </c>
      <c r="L25" s="56">
        <f t="shared" si="13"/>
        <v>59384.976222056874</v>
      </c>
      <c r="M25" s="56">
        <f t="shared" si="13"/>
        <v>67420.24967474134</v>
      </c>
      <c r="N25" s="56">
        <f t="shared" si="13"/>
        <v>63285.573609059575</v>
      </c>
      <c r="O25" s="56">
        <f t="shared" si="13"/>
        <v>75906.08296318603</v>
      </c>
      <c r="P25" s="57">
        <f t="shared" si="13"/>
        <v>73621.8433978619</v>
      </c>
      <c r="Q25" s="58">
        <f t="shared" si="13"/>
        <v>66956.66481456844</v>
      </c>
      <c r="R25" s="59">
        <f>(R24/R23)*1000</f>
        <v>57879.15922560887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66">
        <v>54994</v>
      </c>
      <c r="E26" s="67">
        <v>23018</v>
      </c>
      <c r="F26" s="67">
        <v>43679</v>
      </c>
      <c r="G26" s="67">
        <v>11308</v>
      </c>
      <c r="H26" s="67">
        <v>30845</v>
      </c>
      <c r="I26" s="68">
        <v>36906</v>
      </c>
      <c r="J26" s="108">
        <f>SUM(D26:I26)</f>
        <v>200750</v>
      </c>
      <c r="K26" s="68">
        <v>5137</v>
      </c>
      <c r="L26" s="67">
        <v>32465</v>
      </c>
      <c r="M26" s="67">
        <v>58349</v>
      </c>
      <c r="N26" s="67">
        <v>53085</v>
      </c>
      <c r="O26" s="67">
        <v>27779</v>
      </c>
      <c r="P26" s="68">
        <v>249</v>
      </c>
      <c r="Q26" s="108">
        <f>SUM(K26:P26)</f>
        <v>177064</v>
      </c>
      <c r="R26" s="109">
        <f>J26+Q26</f>
        <v>377814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66">
        <v>2510068</v>
      </c>
      <c r="E27" s="67">
        <v>1111226</v>
      </c>
      <c r="F27" s="67">
        <v>2080398</v>
      </c>
      <c r="G27" s="67">
        <v>522227</v>
      </c>
      <c r="H27" s="67">
        <v>1473309</v>
      </c>
      <c r="I27" s="68">
        <v>1932208</v>
      </c>
      <c r="J27" s="108">
        <f>SUM(D27:I27)</f>
        <v>9629436</v>
      </c>
      <c r="K27" s="107">
        <v>260761</v>
      </c>
      <c r="L27" s="106">
        <v>2019276</v>
      </c>
      <c r="M27" s="106">
        <v>3743048</v>
      </c>
      <c r="N27" s="106">
        <v>3456227</v>
      </c>
      <c r="O27" s="106">
        <v>2177498</v>
      </c>
      <c r="P27" s="107">
        <v>5792</v>
      </c>
      <c r="Q27" s="108">
        <f>SUM(K27:P27)</f>
        <v>11662602</v>
      </c>
      <c r="R27" s="109">
        <f>J27+Q27</f>
        <v>21292038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14" ref="D28:I28">IF(D26=0,,D27/D26*1000)</f>
        <v>45642.57919045714</v>
      </c>
      <c r="E28" s="56">
        <f t="shared" si="14"/>
        <v>48276.392388565466</v>
      </c>
      <c r="F28" s="56">
        <f t="shared" si="14"/>
        <v>47629.2497538863</v>
      </c>
      <c r="G28" s="56">
        <f t="shared" si="14"/>
        <v>46182.083480721616</v>
      </c>
      <c r="H28" s="56">
        <f t="shared" si="14"/>
        <v>47764.92138109904</v>
      </c>
      <c r="I28" s="57">
        <f t="shared" si="14"/>
        <v>52354.847450279085</v>
      </c>
      <c r="J28" s="58">
        <f>(J27/J26)*1000</f>
        <v>47967.302615193024</v>
      </c>
      <c r="K28" s="57">
        <f aca="true" t="shared" si="15" ref="K28:Q28">IF(K26=0,,K27/K26*1000)</f>
        <v>50761.33930309519</v>
      </c>
      <c r="L28" s="56">
        <f t="shared" si="15"/>
        <v>62198.55228707839</v>
      </c>
      <c r="M28" s="56">
        <f t="shared" si="15"/>
        <v>64149.3084714391</v>
      </c>
      <c r="N28" s="56">
        <f t="shared" si="15"/>
        <v>65107.4126401055</v>
      </c>
      <c r="O28" s="56">
        <f t="shared" si="15"/>
        <v>78386.47899492421</v>
      </c>
      <c r="P28" s="57">
        <f t="shared" si="15"/>
        <v>23261.04417670683</v>
      </c>
      <c r="Q28" s="58">
        <f t="shared" si="15"/>
        <v>65866.59061130439</v>
      </c>
      <c r="R28" s="59">
        <f>(R27/R26)*1000</f>
        <v>56355.873525067895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66">
        <v>767</v>
      </c>
      <c r="E29" s="67">
        <v>763</v>
      </c>
      <c r="F29" s="67">
        <v>760</v>
      </c>
      <c r="G29" s="67"/>
      <c r="H29" s="67">
        <v>1503</v>
      </c>
      <c r="I29" s="68">
        <v>755</v>
      </c>
      <c r="J29" s="108">
        <f>SUM(D29:I29)</f>
        <v>4548</v>
      </c>
      <c r="K29" s="68">
        <v>759</v>
      </c>
      <c r="L29" s="67">
        <v>451</v>
      </c>
      <c r="M29" s="67">
        <v>1058</v>
      </c>
      <c r="N29" s="67">
        <v>2063</v>
      </c>
      <c r="O29" s="67"/>
      <c r="P29" s="68">
        <v>2260</v>
      </c>
      <c r="Q29" s="108">
        <f>SUM(K29:P29)</f>
        <v>6591</v>
      </c>
      <c r="R29" s="109">
        <f>J29+Q29</f>
        <v>11139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66">
        <v>36607</v>
      </c>
      <c r="E30" s="67">
        <v>38814</v>
      </c>
      <c r="F30" s="106">
        <v>40044</v>
      </c>
      <c r="G30" s="67"/>
      <c r="H30" s="106">
        <v>79001</v>
      </c>
      <c r="I30" s="107">
        <v>39505</v>
      </c>
      <c r="J30" s="108">
        <f>SUM(D30:I30)</f>
        <v>233971</v>
      </c>
      <c r="K30" s="107">
        <v>43084</v>
      </c>
      <c r="L30" s="106">
        <v>31077</v>
      </c>
      <c r="M30" s="106">
        <v>76267</v>
      </c>
      <c r="N30" s="106">
        <v>166668</v>
      </c>
      <c r="O30" s="106"/>
      <c r="P30" s="107">
        <v>181508</v>
      </c>
      <c r="Q30" s="108">
        <f>SUM(K30:P30)</f>
        <v>498604</v>
      </c>
      <c r="R30" s="109">
        <f>J30+Q30</f>
        <v>732575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16" ref="D31:I31">IF(D29=0,,D30/D29*1000)</f>
        <v>47727.509778357235</v>
      </c>
      <c r="E31" s="56">
        <f t="shared" si="16"/>
        <v>50870.249017038004</v>
      </c>
      <c r="F31" s="56">
        <f t="shared" si="16"/>
        <v>52689.47368421053</v>
      </c>
      <c r="G31" s="56">
        <f t="shared" si="16"/>
        <v>0</v>
      </c>
      <c r="H31" s="56">
        <f t="shared" si="16"/>
        <v>52562.208915502335</v>
      </c>
      <c r="I31" s="57">
        <f t="shared" si="16"/>
        <v>52324.503311258275</v>
      </c>
      <c r="J31" s="58">
        <f>(J30/J29)*1000</f>
        <v>51444.8109058927</v>
      </c>
      <c r="K31" s="57">
        <f aca="true" t="shared" si="17" ref="K31:Q31">IF(K29=0,,K30/K29*1000)</f>
        <v>56764.163372859024</v>
      </c>
      <c r="L31" s="56">
        <f t="shared" si="17"/>
        <v>68906.87361419068</v>
      </c>
      <c r="M31" s="56">
        <f t="shared" si="17"/>
        <v>72086.011342155</v>
      </c>
      <c r="N31" s="56">
        <f t="shared" si="17"/>
        <v>80789.14202617547</v>
      </c>
      <c r="O31" s="56">
        <f t="shared" si="17"/>
        <v>0</v>
      </c>
      <c r="P31" s="57">
        <f t="shared" si="17"/>
        <v>80313.27433628318</v>
      </c>
      <c r="Q31" s="58">
        <f t="shared" si="17"/>
        <v>75649.21863146716</v>
      </c>
      <c r="R31" s="59">
        <f>(R30/R29)*1000</f>
        <v>65766.67564413323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108">
        <f>SUM(D32:I32)</f>
        <v>0</v>
      </c>
      <c r="K32" s="68"/>
      <c r="L32" s="67"/>
      <c r="M32" s="67"/>
      <c r="N32" s="67"/>
      <c r="O32" s="67"/>
      <c r="P32" s="68"/>
      <c r="Q32" s="108">
        <f>SUM(K32:P32)</f>
        <v>0</v>
      </c>
      <c r="R32" s="109">
        <f>J32+Q32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66"/>
      <c r="E33" s="106"/>
      <c r="F33" s="106"/>
      <c r="G33" s="50"/>
      <c r="H33" s="50"/>
      <c r="I33" s="107"/>
      <c r="J33" s="108">
        <f>SUM(D33:I33)</f>
        <v>0</v>
      </c>
      <c r="K33" s="107"/>
      <c r="L33" s="106"/>
      <c r="M33" s="106"/>
      <c r="N33" s="106"/>
      <c r="O33" s="106"/>
      <c r="P33" s="107"/>
      <c r="Q33" s="108">
        <f>SUM(K33:P33)</f>
        <v>0</v>
      </c>
      <c r="R33" s="109">
        <f>J33+Q33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7">
        <f t="shared" si="18"/>
        <v>0</v>
      </c>
      <c r="J34" s="58">
        <f aca="true" t="shared" si="19" ref="J34:P34">IF(J32=0,,J33/J32*1000)</f>
        <v>0</v>
      </c>
      <c r="K34" s="57">
        <f t="shared" si="19"/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0</v>
      </c>
      <c r="R34" s="59">
        <f>IF(R32=0,,R33/R32*1000)</f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66">
        <v>12380</v>
      </c>
      <c r="E35" s="67">
        <v>17575</v>
      </c>
      <c r="F35" s="67">
        <v>43152</v>
      </c>
      <c r="G35" s="67"/>
      <c r="H35" s="67"/>
      <c r="I35" s="68">
        <v>27507</v>
      </c>
      <c r="J35" s="108">
        <f>SUM(D35:I35)</f>
        <v>100614</v>
      </c>
      <c r="K35" s="68">
        <v>570</v>
      </c>
      <c r="L35" s="67"/>
      <c r="M35" s="67"/>
      <c r="N35" s="67">
        <v>32297</v>
      </c>
      <c r="O35" s="67">
        <v>20311</v>
      </c>
      <c r="P35" s="68"/>
      <c r="Q35" s="108">
        <f>SUM(K35:P35)</f>
        <v>53178</v>
      </c>
      <c r="R35" s="109">
        <f>J35+Q35</f>
        <v>153792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66">
        <v>539184</v>
      </c>
      <c r="E36" s="67">
        <v>841988</v>
      </c>
      <c r="F36" s="106">
        <v>1992480</v>
      </c>
      <c r="G36" s="67"/>
      <c r="H36" s="106"/>
      <c r="I36" s="68">
        <v>1323162</v>
      </c>
      <c r="J36" s="108">
        <f>SUM(D36:I36)</f>
        <v>4696814</v>
      </c>
      <c r="K36" s="107">
        <v>25655</v>
      </c>
      <c r="L36" s="106"/>
      <c r="M36" s="106"/>
      <c r="N36" s="106">
        <v>2098477</v>
      </c>
      <c r="O36" s="106">
        <v>1521530</v>
      </c>
      <c r="P36" s="107"/>
      <c r="Q36" s="108">
        <f>SUM(K36:P36)</f>
        <v>3645662</v>
      </c>
      <c r="R36" s="109">
        <f>J36+Q36</f>
        <v>8342476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 aca="true" t="shared" si="20" ref="D37:I37">IF(D35=0,,D36/D35*1000)</f>
        <v>43552.82714054928</v>
      </c>
      <c r="E37" s="56">
        <f t="shared" si="20"/>
        <v>47908.278805120906</v>
      </c>
      <c r="F37" s="56">
        <f t="shared" si="20"/>
        <v>46173.52614015573</v>
      </c>
      <c r="G37" s="56">
        <f t="shared" si="20"/>
        <v>0</v>
      </c>
      <c r="H37" s="56">
        <f t="shared" si="20"/>
        <v>0</v>
      </c>
      <c r="I37" s="57">
        <f t="shared" si="20"/>
        <v>48102.73748500382</v>
      </c>
      <c r="J37" s="58">
        <f>(J36/J35)*1000</f>
        <v>46681.51549486155</v>
      </c>
      <c r="K37" s="57">
        <f aca="true" t="shared" si="21" ref="K37:Q37">IF(K35=0,,K36/K35*1000)</f>
        <v>45008.771929824565</v>
      </c>
      <c r="L37" s="56">
        <f t="shared" si="21"/>
        <v>0</v>
      </c>
      <c r="M37" s="56">
        <f t="shared" si="21"/>
        <v>0</v>
      </c>
      <c r="N37" s="56">
        <f t="shared" si="21"/>
        <v>64974.36294392668</v>
      </c>
      <c r="O37" s="56">
        <f t="shared" si="21"/>
        <v>74911.62424302103</v>
      </c>
      <c r="P37" s="57">
        <f t="shared" si="21"/>
        <v>0</v>
      </c>
      <c r="Q37" s="58">
        <f t="shared" si="21"/>
        <v>68555.83135883261</v>
      </c>
      <c r="R37" s="59">
        <f>(R36/R35)*1000</f>
        <v>54245.18830628382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66">
        <v>2</v>
      </c>
      <c r="E38" s="111">
        <v>1</v>
      </c>
      <c r="F38" s="67">
        <v>33576</v>
      </c>
      <c r="G38" s="67">
        <v>1</v>
      </c>
      <c r="H38" s="128"/>
      <c r="I38" s="68"/>
      <c r="J38" s="108">
        <f>SUM(D38:I38)</f>
        <v>33580</v>
      </c>
      <c r="K38" s="68">
        <v>3</v>
      </c>
      <c r="L38" s="67">
        <v>1</v>
      </c>
      <c r="M38" s="67"/>
      <c r="N38" s="67">
        <v>1</v>
      </c>
      <c r="O38" s="67">
        <f>3+11485</f>
        <v>11488</v>
      </c>
      <c r="P38" s="68">
        <v>42634</v>
      </c>
      <c r="Q38" s="108">
        <f>SUM(K38:P38)</f>
        <v>54127</v>
      </c>
      <c r="R38" s="109">
        <f>J38+Q38</f>
        <v>87707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66">
        <v>1135</v>
      </c>
      <c r="E39" s="106">
        <v>734</v>
      </c>
      <c r="F39" s="106">
        <v>1641651</v>
      </c>
      <c r="G39" s="106">
        <v>1262</v>
      </c>
      <c r="H39" s="130"/>
      <c r="I39" s="107"/>
      <c r="J39" s="108">
        <f>SUM(D39:I39)</f>
        <v>1644782</v>
      </c>
      <c r="K39" s="107">
        <v>2012</v>
      </c>
      <c r="L39" s="106">
        <v>983</v>
      </c>
      <c r="M39" s="106"/>
      <c r="N39" s="106">
        <v>796</v>
      </c>
      <c r="O39" s="106">
        <f>1851+865946</f>
        <v>867797</v>
      </c>
      <c r="P39" s="107">
        <v>3107310</v>
      </c>
      <c r="Q39" s="108">
        <f>SUM(K39:P39)</f>
        <v>3978898</v>
      </c>
      <c r="R39" s="109">
        <f>J39+Q39</f>
        <v>5623680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65">
        <f aca="true" t="shared" si="22" ref="D40:I40">IF(D38=0,,D39/D38*1000)</f>
        <v>567500</v>
      </c>
      <c r="E40" s="56">
        <f t="shared" si="22"/>
        <v>734000</v>
      </c>
      <c r="F40" s="56">
        <f t="shared" si="22"/>
        <v>48893.58470335954</v>
      </c>
      <c r="G40" s="56">
        <f t="shared" si="22"/>
        <v>1262000</v>
      </c>
      <c r="H40" s="129">
        <f t="shared" si="22"/>
        <v>0</v>
      </c>
      <c r="I40" s="57">
        <f t="shared" si="22"/>
        <v>0</v>
      </c>
      <c r="J40" s="58">
        <f>(J39/J38)*1000</f>
        <v>48981.00059559261</v>
      </c>
      <c r="K40" s="57">
        <f aca="true" t="shared" si="23" ref="K40:Q40">IF(K38=0,,K39/K38*1000)</f>
        <v>670666.6666666666</v>
      </c>
      <c r="L40" s="56">
        <f t="shared" si="23"/>
        <v>983000</v>
      </c>
      <c r="M40" s="56">
        <f t="shared" si="23"/>
        <v>0</v>
      </c>
      <c r="N40" s="56">
        <f t="shared" si="23"/>
        <v>796000</v>
      </c>
      <c r="O40" s="56">
        <f t="shared" si="23"/>
        <v>75539.43245125348</v>
      </c>
      <c r="P40" s="57">
        <f t="shared" si="23"/>
        <v>72883.3794624009</v>
      </c>
      <c r="Q40" s="58">
        <f t="shared" si="23"/>
        <v>73510.41070075933</v>
      </c>
      <c r="R40" s="59">
        <f>(R39/R38)*1000</f>
        <v>64118.94147559488</v>
      </c>
      <c r="S40" s="6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 aca="true" t="shared" si="24" ref="D41:G42">D5+D8+D11+D14+D17+D20+D23+D26+D29+D32+D35+D38</f>
        <v>752766</v>
      </c>
      <c r="E41" s="106">
        <f t="shared" si="24"/>
        <v>874301</v>
      </c>
      <c r="F41" s="106">
        <f t="shared" si="24"/>
        <v>888346</v>
      </c>
      <c r="G41" s="106">
        <f>G5+G8+G11+G14+G17+G20+G23+G26+G29+G32+G35+G38</f>
        <v>696991</v>
      </c>
      <c r="H41" s="106">
        <f>H5+H8+H11+H14+H17+H20+H23+H26+H29+H32+H35+H38</f>
        <v>661217</v>
      </c>
      <c r="I41" s="107">
        <f>I5+I8+I11+I14+I17+I20+I23+I26+I29+I32+I35+I38</f>
        <v>736300</v>
      </c>
      <c r="J41" s="108">
        <f>SUM(D41:I41)</f>
        <v>4609921</v>
      </c>
      <c r="K41" s="107">
        <f aca="true" t="shared" si="25" ref="K41:P42">K5+K8+K11+K14+K17+K20+K23+K26+K29+K32+K35+K38</f>
        <v>627970</v>
      </c>
      <c r="L41" s="106">
        <f t="shared" si="25"/>
        <v>681367</v>
      </c>
      <c r="M41" s="106">
        <f t="shared" si="25"/>
        <v>972413</v>
      </c>
      <c r="N41" s="106">
        <f t="shared" si="25"/>
        <v>970417</v>
      </c>
      <c r="O41" s="106">
        <f t="shared" si="25"/>
        <v>992703</v>
      </c>
      <c r="P41" s="107">
        <f t="shared" si="25"/>
        <v>1092181</v>
      </c>
      <c r="Q41" s="108">
        <f>SUM(K41:P41)</f>
        <v>5337051</v>
      </c>
      <c r="R41" s="109">
        <f>J41+Q41</f>
        <v>9946972</v>
      </c>
      <c r="S41" s="54"/>
    </row>
    <row r="42" spans="1:19" s="46" customFormat="1" ht="18" customHeight="1">
      <c r="A42" s="153"/>
      <c r="B42" s="47" t="s">
        <v>28</v>
      </c>
      <c r="C42" s="48" t="s">
        <v>5</v>
      </c>
      <c r="D42" s="105">
        <f t="shared" si="24"/>
        <v>34940774</v>
      </c>
      <c r="E42" s="106">
        <f t="shared" si="24"/>
        <v>41926950</v>
      </c>
      <c r="F42" s="106">
        <f t="shared" si="24"/>
        <v>42704999</v>
      </c>
      <c r="G42" s="106">
        <f t="shared" si="24"/>
        <v>32945794</v>
      </c>
      <c r="H42" s="130">
        <f>H6+H9+H12+H15+H18+H21+H24+H27+H30+H33+H36+H39</f>
        <v>31577445</v>
      </c>
      <c r="I42" s="139">
        <f>I6+I9+I12+I15+I18+I21+I24+I27+I30+I33+I36+I39</f>
        <v>36019520</v>
      </c>
      <c r="J42" s="132">
        <f>SUM(D42:I42)</f>
        <v>220115482</v>
      </c>
      <c r="K42" s="139">
        <f t="shared" si="25"/>
        <v>33906491</v>
      </c>
      <c r="L42" s="106">
        <f t="shared" si="25"/>
        <v>42461970</v>
      </c>
      <c r="M42" s="106">
        <f t="shared" si="25"/>
        <v>65745621</v>
      </c>
      <c r="N42" s="106">
        <f t="shared" si="25"/>
        <v>65180502</v>
      </c>
      <c r="O42" s="106">
        <f t="shared" si="25"/>
        <v>73519447</v>
      </c>
      <c r="P42" s="107">
        <f t="shared" si="25"/>
        <v>79998337</v>
      </c>
      <c r="Q42" s="132">
        <f>Q6+Q9+Q12+Q15+Q18+Q21+Q24+Q27+Q30+Q33+Q36+Q39</f>
        <v>360812368</v>
      </c>
      <c r="R42" s="135">
        <f>J42+Q42</f>
        <v>580927850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26" ref="D43:I43">IF(D41=0,,D42/D41*1000)</f>
        <v>46416.51456096582</v>
      </c>
      <c r="E43" s="56">
        <f t="shared" si="26"/>
        <v>47954.823338873</v>
      </c>
      <c r="F43" s="56">
        <f t="shared" si="26"/>
        <v>48072.48414469137</v>
      </c>
      <c r="G43" s="56">
        <f t="shared" si="26"/>
        <v>47268.607485605986</v>
      </c>
      <c r="H43" s="129">
        <f t="shared" si="26"/>
        <v>47756.55344614552</v>
      </c>
      <c r="I43" s="133">
        <f t="shared" si="26"/>
        <v>48919.625152790984</v>
      </c>
      <c r="J43" s="134">
        <f>(J42/J41)*1000</f>
        <v>47748.21130340411</v>
      </c>
      <c r="K43" s="133">
        <f aca="true" t="shared" si="27" ref="K43:Q43">IF(K41=0,,K42/K41*1000)</f>
        <v>53993.8070289982</v>
      </c>
      <c r="L43" s="56">
        <f t="shared" si="27"/>
        <v>62318.79442356322</v>
      </c>
      <c r="M43" s="56">
        <f t="shared" si="27"/>
        <v>67610.8001435604</v>
      </c>
      <c r="N43" s="56">
        <f t="shared" si="27"/>
        <v>67167.51870587592</v>
      </c>
      <c r="O43" s="56">
        <f t="shared" si="27"/>
        <v>74059.86181163954</v>
      </c>
      <c r="P43" s="57">
        <f t="shared" si="27"/>
        <v>73246.40970681599</v>
      </c>
      <c r="Q43" s="134">
        <f t="shared" si="27"/>
        <v>67605.19395448909</v>
      </c>
      <c r="R43" s="136">
        <f>(R42/R41)*1000</f>
        <v>58402.48167985192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85">
        <v>107.15</v>
      </c>
      <c r="E44" s="86">
        <v>106.02</v>
      </c>
      <c r="F44" s="127">
        <v>107.9</v>
      </c>
      <c r="G44" s="87">
        <v>110.6</v>
      </c>
      <c r="H44" s="90">
        <v>111.54</v>
      </c>
      <c r="I44" s="61">
        <v>110.21</v>
      </c>
      <c r="J44" s="62"/>
      <c r="K44" s="63">
        <v>113.34</v>
      </c>
      <c r="L44" s="112">
        <v>116.67</v>
      </c>
      <c r="M44" s="64">
        <v>119.52</v>
      </c>
      <c r="N44" s="64">
        <v>116.1</v>
      </c>
      <c r="O44" s="87">
        <v>116.92</v>
      </c>
      <c r="P44" s="88"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6">
    <mergeCell ref="A23:A25"/>
    <mergeCell ref="A38:A40"/>
    <mergeCell ref="A41:A43"/>
    <mergeCell ref="A44:C44"/>
    <mergeCell ref="A26:A28"/>
    <mergeCell ref="A29:A31"/>
    <mergeCell ref="A32:A34"/>
    <mergeCell ref="A35:A37"/>
    <mergeCell ref="D2:P2"/>
    <mergeCell ref="A14:A16"/>
    <mergeCell ref="A17:A19"/>
    <mergeCell ref="A20:A22"/>
    <mergeCell ref="Q3:R3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23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O57" sqref="O57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5742187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7" t="s">
        <v>57</v>
      </c>
      <c r="B2" s="34" t="s">
        <v>74</v>
      </c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1"/>
      <c r="R3" s="172"/>
    </row>
    <row r="4" spans="1:19" ht="24" customHeight="1" thickBot="1">
      <c r="A4" s="33"/>
      <c r="B4" s="4"/>
      <c r="C4" s="4"/>
      <c r="D4" s="23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30" t="s">
        <v>64</v>
      </c>
      <c r="J4" s="27" t="s">
        <v>1</v>
      </c>
      <c r="K4" s="30" t="s">
        <v>65</v>
      </c>
      <c r="L4" s="40" t="s">
        <v>66</v>
      </c>
      <c r="M4" s="40" t="s">
        <v>67</v>
      </c>
      <c r="N4" s="40" t="s">
        <v>68</v>
      </c>
      <c r="O4" s="40" t="s">
        <v>69</v>
      </c>
      <c r="P4" s="30" t="s">
        <v>70</v>
      </c>
      <c r="Q4" s="27" t="s">
        <v>2</v>
      </c>
      <c r="R4" s="24" t="s">
        <v>3</v>
      </c>
      <c r="S4" s="5"/>
    </row>
    <row r="5" spans="1:19" ht="12.75" customHeight="1">
      <c r="A5" s="165" t="s">
        <v>56</v>
      </c>
      <c r="B5" s="15" t="s">
        <v>27</v>
      </c>
      <c r="C5" s="13" t="s">
        <v>4</v>
      </c>
      <c r="D5" s="91">
        <f>'P合計'!D5+'B合計'!D5+'液化石油ガス'!D5</f>
        <v>369177</v>
      </c>
      <c r="E5" s="92">
        <f>'P合計'!E5+'B合計'!E5+'液化石油ガス'!E5</f>
        <v>411001</v>
      </c>
      <c r="F5" s="92">
        <f>'P合計'!F5+'B合計'!F5+'液化石油ガス'!F5</f>
        <v>543435</v>
      </c>
      <c r="G5" s="92">
        <f>'P合計'!G5+'B合計'!G5+'液化石油ガス'!G5</f>
        <v>472220</v>
      </c>
      <c r="H5" s="92">
        <f>'P合計'!H5+'B合計'!H5+'液化石油ガス'!H5</f>
        <v>367048</v>
      </c>
      <c r="I5" s="93">
        <f>'P合計'!I5+'B合計'!I5+'液化石油ガス'!I5</f>
        <v>385811</v>
      </c>
      <c r="J5" s="94">
        <f>'P合計'!J5+'B合計'!J5+'液化石油ガス'!J5</f>
        <v>2548692</v>
      </c>
      <c r="K5" s="93">
        <f>'P合計'!K5+'B合計'!K5+'液化石油ガス'!K5</f>
        <v>381439</v>
      </c>
      <c r="L5" s="92">
        <f>'P合計'!L5+'B合計'!L5+'液化石油ガス'!L5</f>
        <v>369695</v>
      </c>
      <c r="M5" s="92">
        <f>'P合計'!M5+'B合計'!M5+'液化石油ガス'!M5</f>
        <v>457842</v>
      </c>
      <c r="N5" s="92">
        <f>'P合計'!N5+'B合計'!N5+'液化石油ガス'!N5</f>
        <v>506868</v>
      </c>
      <c r="O5" s="92">
        <f>'P合計'!O5+'B合計'!O5+'液化石油ガス'!O5</f>
        <v>499763</v>
      </c>
      <c r="P5" s="93">
        <f>'P合計'!P5+'B合計'!P5+'液化石油ガス'!P5</f>
        <v>494847</v>
      </c>
      <c r="Q5" s="94">
        <f>'P合計'!Q5+'B合計'!Q5+'液化石油ガス'!Q5</f>
        <v>2710454</v>
      </c>
      <c r="R5" s="95">
        <f>'P合計'!R5+'B合計'!R5+'液化石油ガス'!R5</f>
        <v>5259146</v>
      </c>
      <c r="S5" s="5"/>
    </row>
    <row r="6" spans="1:19" ht="12.75" customHeight="1">
      <c r="A6" s="166"/>
      <c r="B6" s="15" t="s">
        <v>29</v>
      </c>
      <c r="C6" s="13" t="s">
        <v>5</v>
      </c>
      <c r="D6" s="91">
        <f>'P合計'!D6+'B合計'!D6+'液化石油ガス'!D6</f>
        <v>17451095</v>
      </c>
      <c r="E6" s="92">
        <f>'P合計'!E6+'B合計'!E6+'液化石油ガス'!E6</f>
        <v>19868758</v>
      </c>
      <c r="F6" s="92">
        <f>'P合計'!F6+'B合計'!F6+'液化石油ガス'!F6</f>
        <v>26200898</v>
      </c>
      <c r="G6" s="92">
        <f>'P合計'!G6+'B合計'!G6+'液化石油ガス'!G6</f>
        <v>22281812</v>
      </c>
      <c r="H6" s="141">
        <f>'P合計'!H6+'B合計'!H6+'液化石油ガス'!H6</f>
        <v>18031677</v>
      </c>
      <c r="I6" s="142">
        <f>'P合計'!I6+'B合計'!I6+'液化石油ガス'!I6</f>
        <v>18951562</v>
      </c>
      <c r="J6" s="143">
        <f>'P合計'!J6+'B合計'!J6+'液化石油ガス'!J6</f>
        <v>122785802</v>
      </c>
      <c r="K6" s="93">
        <f>'P合計'!K6+'B合計'!K6+'液化石油ガス'!K6</f>
        <v>20910996</v>
      </c>
      <c r="L6" s="92">
        <f>'P合計'!L6+'B合計'!L6+'液化石油ガス'!L6</f>
        <v>23605599</v>
      </c>
      <c r="M6" s="92">
        <f>'P合計'!M6+'B合計'!M6+'液化石油ガス'!M6</f>
        <v>31230203</v>
      </c>
      <c r="N6" s="92">
        <f>'P合計'!N6+'B合計'!N6+'液化石油ガス'!N6</f>
        <v>34228685</v>
      </c>
      <c r="O6" s="92">
        <f>'P合計'!O6+'B合計'!O6+'液化石油ガス'!O6</f>
        <v>36877291</v>
      </c>
      <c r="P6" s="93">
        <f>'P合計'!P6+'B合計'!P6+'液化石油ガス'!P6</f>
        <v>36520280</v>
      </c>
      <c r="Q6" s="94">
        <f>'P合計'!Q6+'B合計'!Q6+'液化石油ガス'!Q6</f>
        <v>183373054</v>
      </c>
      <c r="R6" s="147">
        <f>'P合計'!R6+'B合計'!R6+'液化石油ガス'!R6</f>
        <v>306158856</v>
      </c>
      <c r="S6" s="5"/>
    </row>
    <row r="7" spans="1:19" ht="12.75" customHeight="1" thickBot="1">
      <c r="A7" s="167"/>
      <c r="B7" s="16" t="s">
        <v>31</v>
      </c>
      <c r="C7" s="14" t="s">
        <v>6</v>
      </c>
      <c r="D7" s="7">
        <f aca="true" t="shared" si="0" ref="D7:R7">IF(D5=0,"",(D6/D5)*1000)</f>
        <v>47270.26602415644</v>
      </c>
      <c r="E7" s="38">
        <f t="shared" si="0"/>
        <v>48342.35926433269</v>
      </c>
      <c r="F7" s="38">
        <f t="shared" si="0"/>
        <v>48213.49011381306</v>
      </c>
      <c r="G7" s="38">
        <f t="shared" si="0"/>
        <v>47185.2356952268</v>
      </c>
      <c r="H7" s="144">
        <f t="shared" si="0"/>
        <v>49126.20965105381</v>
      </c>
      <c r="I7" s="145">
        <f t="shared" si="0"/>
        <v>49121.36253243168</v>
      </c>
      <c r="J7" s="146">
        <f t="shared" si="0"/>
        <v>48176.0063593404</v>
      </c>
      <c r="K7" s="32">
        <f t="shared" si="0"/>
        <v>54821.33709452888</v>
      </c>
      <c r="L7" s="38">
        <f t="shared" si="0"/>
        <v>63851.550602523705</v>
      </c>
      <c r="M7" s="38">
        <f t="shared" si="0"/>
        <v>68211.74772082944</v>
      </c>
      <c r="N7" s="38">
        <f t="shared" si="0"/>
        <v>67529.7809291571</v>
      </c>
      <c r="O7" s="38">
        <f t="shared" si="0"/>
        <v>73789.55825061079</v>
      </c>
      <c r="P7" s="32">
        <f t="shared" si="0"/>
        <v>73801.15470034172</v>
      </c>
      <c r="Q7" s="29">
        <f t="shared" si="0"/>
        <v>67653.99966204923</v>
      </c>
      <c r="R7" s="148">
        <f t="shared" si="0"/>
        <v>58214.55726842343</v>
      </c>
      <c r="S7" s="5"/>
    </row>
    <row r="8" spans="1:19" ht="12.75" customHeight="1">
      <c r="A8" s="165" t="s">
        <v>34</v>
      </c>
      <c r="B8" s="15" t="s">
        <v>27</v>
      </c>
      <c r="C8" s="13" t="s">
        <v>4</v>
      </c>
      <c r="D8" s="91">
        <f>'P合計'!D8+'B合計'!D8+'液化石油ガス'!D8</f>
        <v>110176</v>
      </c>
      <c r="E8" s="92">
        <f>'P合計'!E8+'B合計'!E8+'液化石油ガス'!E8</f>
        <v>152097</v>
      </c>
      <c r="F8" s="92">
        <f>'P合計'!F8+'B合計'!F8+'液化石油ガス'!F8</f>
        <v>101144</v>
      </c>
      <c r="G8" s="92">
        <f>'P合計'!G8+'B合計'!G8+'液化石油ガス'!G8</f>
        <v>96210</v>
      </c>
      <c r="H8" s="92">
        <f>'P合計'!H8+'B合計'!H8+'液化石油ガス'!H8</f>
        <v>117335</v>
      </c>
      <c r="I8" s="93">
        <f>'P合計'!I8+'B合計'!I8+'液化石油ガス'!I8</f>
        <v>125122</v>
      </c>
      <c r="J8" s="94">
        <f>'P合計'!J8+'B合計'!J8+'液化石油ガス'!J8</f>
        <v>702084</v>
      </c>
      <c r="K8" s="93">
        <f>'P合計'!K8+'B合計'!K8+'液化石油ガス'!K8</f>
        <v>85486</v>
      </c>
      <c r="L8" s="92">
        <f>'P合計'!L8+'B合計'!L8+'液化石油ガス'!L8</f>
        <v>76442</v>
      </c>
      <c r="M8" s="92">
        <f>'P合計'!M8+'B合計'!M8+'液化石油ガス'!M8</f>
        <v>136122</v>
      </c>
      <c r="N8" s="92">
        <f>'P合計'!N8+'B合計'!N8+'液化石油ガス'!N8</f>
        <v>192256</v>
      </c>
      <c r="O8" s="92">
        <f>'P合計'!O8+'B合計'!O8+'液化石油ガス'!O8</f>
        <v>110321</v>
      </c>
      <c r="P8" s="93">
        <f>'P合計'!P8+'B合計'!P8+'液化石油ガス'!P8</f>
        <v>171481</v>
      </c>
      <c r="Q8" s="94">
        <f>'P合計'!Q8+'B合計'!Q8+'液化石油ガス'!Q8</f>
        <v>772108</v>
      </c>
      <c r="R8" s="95">
        <f>'P合計'!R8+'B合計'!R8+'液化石油ガス'!R8</f>
        <v>1474192</v>
      </c>
      <c r="S8" s="5"/>
    </row>
    <row r="9" spans="1:19" ht="12.75" customHeight="1">
      <c r="A9" s="166"/>
      <c r="B9" s="15" t="s">
        <v>29</v>
      </c>
      <c r="C9" s="13" t="s">
        <v>5</v>
      </c>
      <c r="D9" s="91">
        <f>'P合計'!D9+'B合計'!D9+'液化石油ガス'!D9</f>
        <v>5220722</v>
      </c>
      <c r="E9" s="92">
        <f>'P合計'!E9+'B合計'!E9+'液化石油ガス'!E9</f>
        <v>7294725</v>
      </c>
      <c r="F9" s="92">
        <f>'P合計'!F9+'B合計'!F9+'液化石油ガス'!F9</f>
        <v>4827108</v>
      </c>
      <c r="G9" s="92">
        <f>'P合計'!G9+'B合計'!G9+'液化石油ガス'!G9</f>
        <v>4560266</v>
      </c>
      <c r="H9" s="92">
        <f>'P合計'!H9+'B合計'!H9+'液化石油ガス'!H9</f>
        <v>5652167</v>
      </c>
      <c r="I9" s="93">
        <f>'P合計'!I9+'B合計'!I9+'液化石油ガス'!I9</f>
        <v>6124984</v>
      </c>
      <c r="J9" s="94">
        <f>'P合計'!J9+'B合計'!J9+'液化石油ガス'!J9</f>
        <v>33679972</v>
      </c>
      <c r="K9" s="93">
        <f>'P合計'!K9+'B合計'!K9+'液化石油ガス'!K9</f>
        <v>4755319</v>
      </c>
      <c r="L9" s="92">
        <f>'P合計'!L9+'B合計'!L9+'液化石油ガス'!L9</f>
        <v>4926391</v>
      </c>
      <c r="M9" s="92">
        <f>'P合計'!M9+'B合計'!M9+'液化石油ガス'!M9</f>
        <v>9287348</v>
      </c>
      <c r="N9" s="92">
        <f>'P合計'!N9+'B合計'!N9+'液化石油ガス'!N9</f>
        <v>13003084</v>
      </c>
      <c r="O9" s="92">
        <f>'P合計'!O9+'B合計'!O9+'液化石油ガス'!O9</f>
        <v>8289148</v>
      </c>
      <c r="P9" s="93">
        <f>'P合計'!P9+'B合計'!P9+'液化石油ガス'!P9</f>
        <v>12546139</v>
      </c>
      <c r="Q9" s="94">
        <f>'P合計'!Q9+'B合計'!Q9+'液化石油ガス'!Q9</f>
        <v>52807429</v>
      </c>
      <c r="R9" s="95">
        <f>'P合計'!R9+'B合計'!R9+'液化石油ガス'!R9</f>
        <v>86487401</v>
      </c>
      <c r="S9" s="5"/>
    </row>
    <row r="10" spans="1:19" ht="12.75" customHeight="1" thickBot="1">
      <c r="A10" s="167"/>
      <c r="B10" s="16" t="s">
        <v>31</v>
      </c>
      <c r="C10" s="14" t="s">
        <v>6</v>
      </c>
      <c r="D10" s="7">
        <f aca="true" t="shared" si="1" ref="D10:R10">IF(D8=0,"",(D9/D8)*1000)</f>
        <v>47385.292622712754</v>
      </c>
      <c r="E10" s="38">
        <f t="shared" si="1"/>
        <v>47961.005148030534</v>
      </c>
      <c r="F10" s="38">
        <f t="shared" si="1"/>
        <v>47725.10480107569</v>
      </c>
      <c r="G10" s="38">
        <f t="shared" si="1"/>
        <v>47399.08533416485</v>
      </c>
      <c r="H10" s="38">
        <f t="shared" si="1"/>
        <v>48171.19359100013</v>
      </c>
      <c r="I10" s="32">
        <f t="shared" si="1"/>
        <v>48952.094755518614</v>
      </c>
      <c r="J10" s="29">
        <f t="shared" si="1"/>
        <v>47971.42792030583</v>
      </c>
      <c r="K10" s="32">
        <f t="shared" si="1"/>
        <v>55626.87457595395</v>
      </c>
      <c r="L10" s="38">
        <f t="shared" si="1"/>
        <v>64446.12909133723</v>
      </c>
      <c r="M10" s="38">
        <f t="shared" si="1"/>
        <v>68228.11889334569</v>
      </c>
      <c r="N10" s="38">
        <f t="shared" si="1"/>
        <v>67634.21687749667</v>
      </c>
      <c r="O10" s="38">
        <f t="shared" si="1"/>
        <v>75136.62856573092</v>
      </c>
      <c r="P10" s="32">
        <f t="shared" si="1"/>
        <v>73163.43501612423</v>
      </c>
      <c r="Q10" s="29">
        <f t="shared" si="1"/>
        <v>68393.83739062412</v>
      </c>
      <c r="R10" s="26">
        <f t="shared" si="1"/>
        <v>58667.664049187624</v>
      </c>
      <c r="S10" s="5"/>
    </row>
    <row r="11" spans="1:19" ht="12.75" customHeight="1">
      <c r="A11" s="165" t="s">
        <v>36</v>
      </c>
      <c r="B11" s="15" t="s">
        <v>27</v>
      </c>
      <c r="C11" s="13" t="s">
        <v>4</v>
      </c>
      <c r="D11" s="91">
        <f>'P合計'!D11+'B合計'!D11+'液化石油ガス'!D11</f>
        <v>89016</v>
      </c>
      <c r="E11" s="92">
        <f>'P合計'!E11+'B合計'!E11+'液化石油ガス'!E11</f>
        <v>31413</v>
      </c>
      <c r="F11" s="92">
        <f>'P合計'!F11+'B合計'!F11+'液化石油ガス'!F11</f>
        <v>0</v>
      </c>
      <c r="G11" s="92">
        <f>'P合計'!G11+'B合計'!G11+'液化石油ガス'!G11</f>
        <v>0</v>
      </c>
      <c r="H11" s="92">
        <f>'P合計'!H11+'B合計'!H11+'液化石油ガス'!H11</f>
        <v>0</v>
      </c>
      <c r="I11" s="93">
        <f>'P合計'!I11+'B合計'!I11+'液化石油ガス'!I11</f>
        <v>26256</v>
      </c>
      <c r="J11" s="94">
        <f>'P合計'!J11+'B合計'!J11+'液化石油ガス'!J11</f>
        <v>146685</v>
      </c>
      <c r="K11" s="93">
        <f>'P合計'!K11+'B合計'!K11+'液化石油ガス'!K11</f>
        <v>24387</v>
      </c>
      <c r="L11" s="92">
        <f>'P合計'!L11+'B合計'!L11+'液化石油ガス'!L11</f>
        <v>43825</v>
      </c>
      <c r="M11" s="92">
        <f>'P合計'!M11+'B合計'!M11+'液化石油ガス'!M11</f>
        <v>0</v>
      </c>
      <c r="N11" s="92">
        <f>'P合計'!N11+'B合計'!N11+'液化石油ガス'!N11</f>
        <v>0</v>
      </c>
      <c r="O11" s="92">
        <f>'P合計'!O11+'B合計'!O11+'液化石油ガス'!O11</f>
        <v>19043</v>
      </c>
      <c r="P11" s="93">
        <f>'P合計'!P11+'B合計'!P11+'液化石油ガス'!P11</f>
        <v>116035</v>
      </c>
      <c r="Q11" s="94">
        <f>'P合計'!Q11+'B合計'!Q11+'液化石油ガス'!Q11</f>
        <v>203290</v>
      </c>
      <c r="R11" s="95">
        <f>'P合計'!R11+'B合計'!R11+'液化石油ガス'!R11</f>
        <v>349975</v>
      </c>
      <c r="S11" s="5"/>
    </row>
    <row r="12" spans="1:19" ht="12.75" customHeight="1">
      <c r="A12" s="166"/>
      <c r="B12" s="15" t="s">
        <v>29</v>
      </c>
      <c r="C12" s="13" t="s">
        <v>5</v>
      </c>
      <c r="D12" s="91">
        <f>'P合計'!D12+'B合計'!D12+'液化石油ガス'!D12</f>
        <v>4146415</v>
      </c>
      <c r="E12" s="92">
        <f>'P合計'!E12+'B合計'!E12+'液化石油ガス'!E12</f>
        <v>1528086</v>
      </c>
      <c r="F12" s="92">
        <f>'P合計'!F12+'B合計'!F12+'液化石油ガス'!F12</f>
        <v>0</v>
      </c>
      <c r="G12" s="92">
        <f>'P合計'!G12+'B合計'!G12+'液化石油ガス'!G12</f>
        <v>0</v>
      </c>
      <c r="H12" s="92">
        <f>'P合計'!H12+'B合計'!H12+'液化石油ガス'!H12</f>
        <v>0</v>
      </c>
      <c r="I12" s="93">
        <f>'P合計'!I12+'B合計'!I12+'液化石油ガス'!I12</f>
        <v>1249613</v>
      </c>
      <c r="J12" s="94">
        <f>'P合計'!J12+'B合計'!J12+'液化石油ガス'!J12</f>
        <v>6924114</v>
      </c>
      <c r="K12" s="93">
        <f>'P合計'!K12+'B合計'!K12+'液化石油ガス'!K12</f>
        <v>1340749</v>
      </c>
      <c r="L12" s="92">
        <f>'P合計'!L12+'B合計'!L12+'液化石油ガス'!L12</f>
        <v>2383104</v>
      </c>
      <c r="M12" s="92">
        <f>'P合計'!M12+'B合計'!M12+'液化石油ガス'!M12</f>
        <v>0</v>
      </c>
      <c r="N12" s="92">
        <f>'P合計'!N12+'B合計'!N12+'液化石油ガス'!N12</f>
        <v>0</v>
      </c>
      <c r="O12" s="92">
        <f>'P合計'!O12+'B合計'!O12+'液化石油ガス'!O12</f>
        <v>1518870</v>
      </c>
      <c r="P12" s="93">
        <f>'P合計'!P12+'B合計'!P12+'液化石油ガス'!P12</f>
        <v>8915152</v>
      </c>
      <c r="Q12" s="94">
        <f>'P合計'!Q12+'B合計'!Q12+'液化石油ガス'!Q12</f>
        <v>14157875</v>
      </c>
      <c r="R12" s="95">
        <f>'P合計'!R12+'B合計'!R12+'液化石油ガス'!R12</f>
        <v>21081989</v>
      </c>
      <c r="S12" s="5"/>
    </row>
    <row r="13" spans="1:19" ht="12.75" customHeight="1" thickBot="1">
      <c r="A13" s="167"/>
      <c r="B13" s="16" t="s">
        <v>31</v>
      </c>
      <c r="C13" s="14" t="s">
        <v>6</v>
      </c>
      <c r="D13" s="7">
        <f aca="true" t="shared" si="2" ref="D13:R13">IF(D11=0,"",(D12/D11)*1000)</f>
        <v>46580.55855127168</v>
      </c>
      <c r="E13" s="38">
        <f t="shared" si="2"/>
        <v>48645.019577881765</v>
      </c>
      <c r="F13" s="38">
        <f t="shared" si="2"/>
      </c>
      <c r="G13" s="38">
        <f t="shared" si="2"/>
      </c>
      <c r="H13" s="38">
        <f t="shared" si="2"/>
      </c>
      <c r="I13" s="32">
        <f t="shared" si="2"/>
        <v>47593.42626447288</v>
      </c>
      <c r="J13" s="29">
        <f t="shared" si="2"/>
        <v>47203.96768585745</v>
      </c>
      <c r="K13" s="32">
        <f t="shared" si="2"/>
        <v>54978.02107680322</v>
      </c>
      <c r="L13" s="38">
        <f t="shared" si="2"/>
        <v>54377.729606389046</v>
      </c>
      <c r="M13" s="38">
        <f t="shared" si="2"/>
      </c>
      <c r="N13" s="38">
        <f t="shared" si="2"/>
      </c>
      <c r="O13" s="38">
        <f t="shared" si="2"/>
        <v>79760.016804075</v>
      </c>
      <c r="P13" s="32">
        <f t="shared" si="2"/>
        <v>76831.57667945017</v>
      </c>
      <c r="Q13" s="29">
        <f t="shared" si="2"/>
        <v>69643.73555019923</v>
      </c>
      <c r="R13" s="26">
        <f t="shared" si="2"/>
        <v>60238.55703978855</v>
      </c>
      <c r="S13" s="5"/>
    </row>
    <row r="14" spans="1:19" ht="12.75" customHeight="1">
      <c r="A14" s="165" t="s">
        <v>38</v>
      </c>
      <c r="B14" s="15" t="s">
        <v>27</v>
      </c>
      <c r="C14" s="13" t="s">
        <v>4</v>
      </c>
      <c r="D14" s="91">
        <f>'P合計'!D14+'B合計'!D14+'液化石油ガス'!D14</f>
        <v>8507</v>
      </c>
      <c r="E14" s="37">
        <f>'P合計'!E14+'B合計'!E14+'液化石油ガス'!E14</f>
        <v>0</v>
      </c>
      <c r="F14" s="37">
        <f>'P合計'!F14+'B合計'!F14+'液化石油ガス'!F14</f>
        <v>0</v>
      </c>
      <c r="G14" s="92">
        <f>'P合計'!G14+'B合計'!G14+'液化石油ガス'!G14</f>
        <v>42472</v>
      </c>
      <c r="H14" s="37">
        <f>'P合計'!H14+'B合計'!H14+'液化石油ガス'!H14</f>
        <v>0</v>
      </c>
      <c r="I14" s="31">
        <f>'P合計'!I14+'B合計'!I14+'液化石油ガス'!I14</f>
        <v>0</v>
      </c>
      <c r="J14" s="94">
        <f>'P合計'!J14+'B合計'!J14+'液化石油ガス'!J14</f>
        <v>50979</v>
      </c>
      <c r="K14" s="31">
        <f>'P合計'!K14+'B合計'!K14+'液化石油ガス'!K14</f>
        <v>0</v>
      </c>
      <c r="L14" s="37">
        <f>'P合計'!L14+'B合計'!L14+'液化石油ガス'!L14</f>
        <v>0</v>
      </c>
      <c r="M14" s="37">
        <f>'P合計'!M14+'B合計'!M14+'液化石油ガス'!M14</f>
        <v>0</v>
      </c>
      <c r="N14" s="37">
        <f>'P合計'!N14+'B合計'!N14+'液化石油ガス'!N14</f>
        <v>0</v>
      </c>
      <c r="O14" s="37">
        <f>'P合計'!O14+'B合計'!O14+'液化石油ガス'!O14</f>
        <v>0</v>
      </c>
      <c r="P14" s="31">
        <f>'P合計'!P14+'B合計'!P14+'液化石油ガス'!P14</f>
        <v>0</v>
      </c>
      <c r="Q14" s="28">
        <f>'P合計'!Q14+'B合計'!Q14+'液化石油ガス'!Q14</f>
        <v>0</v>
      </c>
      <c r="R14" s="25">
        <f>'P合計'!R14+'B合計'!R14+'液化石油ガス'!R14</f>
        <v>50979</v>
      </c>
      <c r="S14" s="5"/>
    </row>
    <row r="15" spans="1:19" ht="12.75" customHeight="1">
      <c r="A15" s="166"/>
      <c r="B15" s="15" t="s">
        <v>29</v>
      </c>
      <c r="C15" s="13" t="s">
        <v>5</v>
      </c>
      <c r="D15" s="91">
        <f>'P合計'!D15+'B合計'!D15+'液化石油ガス'!D15</f>
        <v>405166</v>
      </c>
      <c r="E15" s="37">
        <f>'P合計'!E15+'B合計'!E15+'液化石油ガス'!E15</f>
        <v>0</v>
      </c>
      <c r="F15" s="37">
        <f>'P合計'!F15+'B合計'!F15+'液化石油ガス'!F15</f>
        <v>0</v>
      </c>
      <c r="G15" s="92">
        <f>'P合計'!G15+'B合計'!G15+'液化石油ガス'!G15</f>
        <v>2016654</v>
      </c>
      <c r="H15" s="37">
        <f>'P合計'!H15+'B合計'!H15+'液化石油ガス'!H15</f>
        <v>0</v>
      </c>
      <c r="I15" s="31">
        <f>'P合計'!I15+'B合計'!I15+'液化石油ガス'!I15</f>
        <v>0</v>
      </c>
      <c r="J15" s="94">
        <f>'P合計'!J15+'B合計'!J15+'液化石油ガス'!J15</f>
        <v>2421820</v>
      </c>
      <c r="K15" s="31">
        <f>'P合計'!K15+'B合計'!K15+'液化石油ガス'!K15</f>
        <v>0</v>
      </c>
      <c r="L15" s="37">
        <f>'P合計'!L15+'B合計'!L15+'液化石油ガス'!L15</f>
        <v>0</v>
      </c>
      <c r="M15" s="37">
        <f>'P合計'!M15+'B合計'!M15+'液化石油ガス'!M15</f>
        <v>0</v>
      </c>
      <c r="N15" s="37">
        <f>'P合計'!N15+'B合計'!N15+'液化石油ガス'!N15</f>
        <v>0</v>
      </c>
      <c r="O15" s="37">
        <f>'P合計'!O15+'B合計'!O15+'液化石油ガス'!O15</f>
        <v>0</v>
      </c>
      <c r="P15" s="31">
        <f>'P合計'!P15+'B合計'!P15+'液化石油ガス'!P15</f>
        <v>0</v>
      </c>
      <c r="Q15" s="28">
        <f>'P合計'!Q15+'B合計'!Q15+'液化石油ガス'!Q15</f>
        <v>0</v>
      </c>
      <c r="R15" s="25">
        <f>'P合計'!R15+'B合計'!R15+'液化石油ガス'!R15</f>
        <v>2421820</v>
      </c>
      <c r="S15" s="5"/>
    </row>
    <row r="16" spans="1:19" ht="12.75" customHeight="1" thickBot="1">
      <c r="A16" s="167"/>
      <c r="B16" s="16" t="s">
        <v>31</v>
      </c>
      <c r="C16" s="14" t="s">
        <v>6</v>
      </c>
      <c r="D16" s="7">
        <f aca="true" t="shared" si="3" ref="D16:R16">IF(D14=0,"",(D15/D14)*1000)</f>
        <v>47627.36569883625</v>
      </c>
      <c r="E16" s="38">
        <f t="shared" si="3"/>
      </c>
      <c r="F16" s="38">
        <f t="shared" si="3"/>
      </c>
      <c r="G16" s="38">
        <f t="shared" si="3"/>
        <v>47481.964588434734</v>
      </c>
      <c r="H16" s="38">
        <f t="shared" si="3"/>
      </c>
      <c r="I16" s="32">
        <f t="shared" si="3"/>
      </c>
      <c r="J16" s="29">
        <f t="shared" si="3"/>
        <v>47506.228054689185</v>
      </c>
      <c r="K16" s="32">
        <f t="shared" si="3"/>
      </c>
      <c r="L16" s="38">
        <f t="shared" si="3"/>
      </c>
      <c r="M16" s="38">
        <f t="shared" si="3"/>
      </c>
      <c r="N16" s="38">
        <f t="shared" si="3"/>
      </c>
      <c r="O16" s="38">
        <f t="shared" si="3"/>
      </c>
      <c r="P16" s="32">
        <f t="shared" si="3"/>
      </c>
      <c r="Q16" s="29">
        <f t="shared" si="3"/>
      </c>
      <c r="R16" s="26">
        <f t="shared" si="3"/>
        <v>47506.228054689185</v>
      </c>
      <c r="S16" s="5"/>
    </row>
    <row r="17" spans="1:19" ht="12.75" customHeight="1">
      <c r="A17" s="165" t="s">
        <v>40</v>
      </c>
      <c r="B17" s="15" t="s">
        <v>27</v>
      </c>
      <c r="C17" s="13" t="s">
        <v>4</v>
      </c>
      <c r="D17" s="91">
        <f>'P合計'!D17+'B合計'!D17+'液化石油ガス'!D17</f>
        <v>72250</v>
      </c>
      <c r="E17" s="92">
        <f>'P合計'!E17+'B合計'!E17+'液化石油ガス'!E17</f>
        <v>176884</v>
      </c>
      <c r="F17" s="92">
        <f>'P合計'!F17+'B合計'!F17+'液化石油ガス'!F17</f>
        <v>64655</v>
      </c>
      <c r="G17" s="92">
        <f>'P合計'!G17+'B合計'!G17+'液化石油ガス'!G17</f>
        <v>45647</v>
      </c>
      <c r="H17" s="92">
        <f>'P合計'!H17+'B合計'!H17+'液化石油ガス'!H17</f>
        <v>79092</v>
      </c>
      <c r="I17" s="93">
        <f>'P合計'!I17+'B合計'!I17+'液化石油ガス'!I17</f>
        <v>64233</v>
      </c>
      <c r="J17" s="94">
        <f>'P合計'!J17+'B合計'!J17+'液化石油ガス'!J17</f>
        <v>502761</v>
      </c>
      <c r="K17" s="93">
        <f>'P合計'!K17+'B合計'!K17+'液化石油ガス'!K17</f>
        <v>111396</v>
      </c>
      <c r="L17" s="92">
        <f>'P合計'!L17+'B合計'!L17+'液化石油ガス'!L17</f>
        <v>125289</v>
      </c>
      <c r="M17" s="92">
        <f>'P合計'!M17+'B合計'!M17+'液化石油ガス'!M17</f>
        <v>100396</v>
      </c>
      <c r="N17" s="92">
        <f>'P合計'!N17+'B合計'!N17+'液化石油ガス'!N17</f>
        <v>68296</v>
      </c>
      <c r="O17" s="92">
        <f>'P合計'!O17+'B合計'!O17+'液化石油ガス'!O17</f>
        <v>256602</v>
      </c>
      <c r="P17" s="93">
        <f>'P合計'!P17+'B合計'!P17+'液化石油ガス'!P17</f>
        <v>141620</v>
      </c>
      <c r="Q17" s="94">
        <f>'P合計'!Q17+'B合計'!Q17+'液化石油ガス'!Q17</f>
        <v>803599</v>
      </c>
      <c r="R17" s="95">
        <f>'P合計'!R17+'B合計'!R17+'液化石油ガス'!R17</f>
        <v>1306360</v>
      </c>
      <c r="S17" s="5"/>
    </row>
    <row r="18" spans="1:19" ht="12.75" customHeight="1">
      <c r="A18" s="166"/>
      <c r="B18" s="15" t="s">
        <v>29</v>
      </c>
      <c r="C18" s="13" t="s">
        <v>5</v>
      </c>
      <c r="D18" s="91">
        <f>'P合計'!D18+'B合計'!D18+'液化石油ガス'!D18</f>
        <v>3237405</v>
      </c>
      <c r="E18" s="92">
        <f>'P合計'!E18+'B合計'!E18+'液化石油ガス'!E18</f>
        <v>8564333</v>
      </c>
      <c r="F18" s="92">
        <f>'P合計'!F18+'B合計'!F18+'液化石油ガス'!F18</f>
        <v>3131805</v>
      </c>
      <c r="G18" s="141">
        <f>'P合計'!G18+'B合計'!G18+'液化石油ガス'!G18</f>
        <v>2193011</v>
      </c>
      <c r="H18" s="92">
        <f>'P合計'!H18+'B合計'!H18+'液化石油ガス'!H18</f>
        <v>3876769</v>
      </c>
      <c r="I18" s="142">
        <f>'P合計'!I18+'B合計'!I18+'液化石油ガス'!I18</f>
        <v>3171647</v>
      </c>
      <c r="J18" s="143">
        <f>'P合計'!J18+'B合計'!J18+'液化石油ガス'!J18</f>
        <v>24174970</v>
      </c>
      <c r="K18" s="93">
        <f>'P合計'!K18+'B合計'!K18+'液化石油ガス'!K18</f>
        <v>6151103</v>
      </c>
      <c r="L18" s="92">
        <f>'P合計'!L18+'B合計'!L18+'液化石油ガス'!L18</f>
        <v>8111419</v>
      </c>
      <c r="M18" s="92">
        <f>'P合計'!M18+'B合計'!M18+'液化石油ガス'!M18</f>
        <v>6924497</v>
      </c>
      <c r="N18" s="92">
        <f>'P合計'!N18+'B合計'!N18+'液化石油ガス'!N18</f>
        <v>4750540</v>
      </c>
      <c r="O18" s="92">
        <f>'P合計'!O18+'B合計'!O18+'液化石油ガス'!O18</f>
        <v>19147176</v>
      </c>
      <c r="P18" s="93">
        <f>'P合計'!P18+'B合計'!P18+'液化石油ガス'!P18</f>
        <v>11077350</v>
      </c>
      <c r="Q18" s="94">
        <f>'P合計'!Q18+'B合計'!Q18+'液化石油ガス'!Q18</f>
        <v>56162085</v>
      </c>
      <c r="R18" s="147">
        <f>'P合計'!R18+'B合計'!R18+'液化石油ガス'!R18</f>
        <v>80337055</v>
      </c>
      <c r="S18" s="5"/>
    </row>
    <row r="19" spans="1:19" ht="12.75" customHeight="1" thickBot="1">
      <c r="A19" s="167"/>
      <c r="B19" s="16" t="s">
        <v>31</v>
      </c>
      <c r="C19" s="14" t="s">
        <v>6</v>
      </c>
      <c r="D19" s="7">
        <f aca="true" t="shared" si="4" ref="D19:R19">IF(D17=0,"",(D18/D17)*1000)</f>
        <v>44808.37370242215</v>
      </c>
      <c r="E19" s="38">
        <f t="shared" si="4"/>
        <v>48417.793582234684</v>
      </c>
      <c r="F19" s="38">
        <f t="shared" si="4"/>
        <v>48438.71316990179</v>
      </c>
      <c r="G19" s="144">
        <f t="shared" si="4"/>
        <v>48042.828663438995</v>
      </c>
      <c r="H19" s="38">
        <f t="shared" si="4"/>
        <v>49015.94345825115</v>
      </c>
      <c r="I19" s="145">
        <f t="shared" si="4"/>
        <v>49377.22043186524</v>
      </c>
      <c r="J19" s="146">
        <f t="shared" si="4"/>
        <v>48084.41784466178</v>
      </c>
      <c r="K19" s="32">
        <f t="shared" si="4"/>
        <v>55218.34715788718</v>
      </c>
      <c r="L19" s="38">
        <f t="shared" si="4"/>
        <v>64741.669260669325</v>
      </c>
      <c r="M19" s="38">
        <f t="shared" si="4"/>
        <v>68971.8415076298</v>
      </c>
      <c r="N19" s="38">
        <f t="shared" si="4"/>
        <v>69558.10003514115</v>
      </c>
      <c r="O19" s="38">
        <f t="shared" si="4"/>
        <v>74618.18691982135</v>
      </c>
      <c r="P19" s="32">
        <f t="shared" si="4"/>
        <v>78218.82502471402</v>
      </c>
      <c r="Q19" s="29">
        <f t="shared" si="4"/>
        <v>69888.19672498349</v>
      </c>
      <c r="R19" s="148">
        <f t="shared" si="4"/>
        <v>61496.87299059983</v>
      </c>
      <c r="S19" s="5"/>
    </row>
    <row r="20" spans="1:19" ht="12.75" customHeight="1">
      <c r="A20" s="168" t="s">
        <v>58</v>
      </c>
      <c r="B20" s="15" t="s">
        <v>27</v>
      </c>
      <c r="C20" s="13" t="s">
        <v>4</v>
      </c>
      <c r="D20" s="91">
        <f>'P合計'!D20+'B合計'!D20+'液化石油ガス'!D20</f>
        <v>181196</v>
      </c>
      <c r="E20" s="92">
        <f>'P合計'!E20+'B合計'!E20+'液化石油ガス'!E20</f>
        <v>222093</v>
      </c>
      <c r="F20" s="92">
        <f>'P合計'!F20+'B合計'!F20+'液化石油ガス'!F20</f>
        <v>220880</v>
      </c>
      <c r="G20" s="92">
        <f>'P合計'!G20+'B合計'!G20+'液化石油ガス'!G20</f>
        <v>203881</v>
      </c>
      <c r="H20" s="92">
        <f>'P合計'!H20+'B合計'!H20+'液化石油ガス'!H20</f>
        <v>238016</v>
      </c>
      <c r="I20" s="93">
        <f>'P合計'!I20+'B合計'!I20+'液化石油ガス'!I20</f>
        <v>322309</v>
      </c>
      <c r="J20" s="94">
        <f>'P合計'!J20+'B合計'!J20+'液化石油ガス'!J20</f>
        <v>1388375</v>
      </c>
      <c r="K20" s="93">
        <f>'P合計'!K20+'B合計'!K20+'液化石油ガス'!K20</f>
        <v>159067</v>
      </c>
      <c r="L20" s="92">
        <f>'P合計'!L20+'B合計'!L20+'液化石油ガス'!L20</f>
        <v>227210</v>
      </c>
      <c r="M20" s="92">
        <f>'P合計'!M20+'B合計'!M20+'液化石油ガス'!M20</f>
        <v>404369</v>
      </c>
      <c r="N20" s="92">
        <f>'P合計'!N20+'B合計'!N20+'液化石油ガス'!N20</f>
        <v>384528</v>
      </c>
      <c r="O20" s="92">
        <f>'P合計'!O20+'B合計'!O20+'液化石油ガス'!O20</f>
        <v>155095</v>
      </c>
      <c r="P20" s="93">
        <f>'P合計'!P20+'B合計'!P20+'液化石油ガス'!P20</f>
        <v>462859</v>
      </c>
      <c r="Q20" s="94">
        <f>'P合計'!Q20+'B合計'!Q20+'液化石油ガス'!Q20</f>
        <v>1793128</v>
      </c>
      <c r="R20" s="95">
        <f>'P合計'!R20+'B合計'!R20+'液化石油ガス'!R20</f>
        <v>3181503</v>
      </c>
      <c r="S20" s="5"/>
    </row>
    <row r="21" spans="1:19" ht="12.75" customHeight="1">
      <c r="A21" s="169"/>
      <c r="B21" s="15" t="s">
        <v>29</v>
      </c>
      <c r="C21" s="13" t="s">
        <v>5</v>
      </c>
      <c r="D21" s="91">
        <f>'P合計'!D21+'B合計'!D21+'液化石油ガス'!D21</f>
        <v>7798812</v>
      </c>
      <c r="E21" s="92">
        <f>'P合計'!E21+'B合計'!E21+'液化石油ガス'!E21</f>
        <v>10293169</v>
      </c>
      <c r="F21" s="92">
        <f>'P合計'!F21+'B合計'!F21+'液化石油ガス'!F21</f>
        <v>10671934</v>
      </c>
      <c r="G21" s="92">
        <f>'P合計'!G21+'B合計'!G21+'液化石油ガス'!G21</f>
        <v>9746307</v>
      </c>
      <c r="H21" s="92">
        <f>'P合計'!H21+'B合計'!H21+'液化石油ガス'!H21</f>
        <v>10300244</v>
      </c>
      <c r="I21" s="93">
        <f>'P合計'!I21+'B合計'!I21+'液化石油ガス'!I21</f>
        <v>15755209</v>
      </c>
      <c r="J21" s="94">
        <f>'P合計'!J21+'B合計'!J21+'液化石油ガス'!J21</f>
        <v>64565675</v>
      </c>
      <c r="K21" s="142">
        <f>'P合計'!K21+'B合計'!K21+'液化石油ガス'!K21</f>
        <v>8568191</v>
      </c>
      <c r="L21" s="92">
        <f>'P合計'!L21+'B合計'!L21+'液化石油ガス'!L21</f>
        <v>13891716</v>
      </c>
      <c r="M21" s="92">
        <f>'P合計'!M21+'B合計'!M21+'液化石油ガス'!M21</f>
        <v>27844972</v>
      </c>
      <c r="N21" s="92">
        <f>'P合計'!N21+'B合計'!N21+'液化石油ガス'!N21</f>
        <v>26212265</v>
      </c>
      <c r="O21" s="92">
        <f>'P合計'!O21+'B合計'!O21+'液化石油ガス'!O21</f>
        <v>11365647</v>
      </c>
      <c r="P21" s="93">
        <f>'P合計'!P21+'B合計'!P21+'液化石油ガス'!P21</f>
        <v>31951096</v>
      </c>
      <c r="Q21" s="94">
        <f>'P合計'!Q21+'B合計'!Q21+'液化石油ガス'!Q21</f>
        <v>119833887</v>
      </c>
      <c r="R21" s="147">
        <f>'P合計'!R21+'B合計'!R21+'液化石油ガス'!R21</f>
        <v>184399562</v>
      </c>
      <c r="S21" s="5"/>
    </row>
    <row r="22" spans="1:19" ht="12.75" customHeight="1" thickBot="1">
      <c r="A22" s="170"/>
      <c r="B22" s="16" t="s">
        <v>31</v>
      </c>
      <c r="C22" s="14" t="s">
        <v>6</v>
      </c>
      <c r="D22" s="7">
        <f aca="true" t="shared" si="5" ref="D22:R22">IF(D20=0,"",(D21/D20)*1000)</f>
        <v>43040.75145146692</v>
      </c>
      <c r="E22" s="38">
        <f t="shared" si="5"/>
        <v>46346.21082159276</v>
      </c>
      <c r="F22" s="38">
        <f t="shared" si="5"/>
        <v>48315.52879391525</v>
      </c>
      <c r="G22" s="38">
        <f t="shared" si="5"/>
        <v>47803.900314399085</v>
      </c>
      <c r="H22" s="38">
        <f t="shared" si="5"/>
        <v>43275.4268620597</v>
      </c>
      <c r="I22" s="32">
        <f t="shared" si="5"/>
        <v>48882.31169467809</v>
      </c>
      <c r="J22" s="29">
        <f t="shared" si="5"/>
        <v>46504.49266228505</v>
      </c>
      <c r="K22" s="145">
        <f t="shared" si="5"/>
        <v>53865.295755876454</v>
      </c>
      <c r="L22" s="38">
        <f t="shared" si="5"/>
        <v>61140.42515734343</v>
      </c>
      <c r="M22" s="38">
        <f t="shared" si="5"/>
        <v>68860.30333680377</v>
      </c>
      <c r="N22" s="38">
        <f t="shared" si="5"/>
        <v>68167.37662796988</v>
      </c>
      <c r="O22" s="38">
        <f t="shared" si="5"/>
        <v>73281.84016248106</v>
      </c>
      <c r="P22" s="32">
        <f t="shared" si="5"/>
        <v>69029.86870731693</v>
      </c>
      <c r="Q22" s="29">
        <f t="shared" si="5"/>
        <v>66829.52193039203</v>
      </c>
      <c r="R22" s="148">
        <f t="shared" si="5"/>
        <v>57959.88939818696</v>
      </c>
      <c r="S22" s="5"/>
    </row>
    <row r="23" spans="1:19" ht="12.75" customHeight="1">
      <c r="A23" s="165" t="s">
        <v>43</v>
      </c>
      <c r="B23" s="15" t="s">
        <v>27</v>
      </c>
      <c r="C23" s="13" t="s">
        <v>4</v>
      </c>
      <c r="D23" s="91">
        <f>'P合計'!D23+'B合計'!D23+'液化石油ガス'!D23</f>
        <v>82289</v>
      </c>
      <c r="E23" s="92">
        <f>'P合計'!E23+'B合計'!E23+'液化石油ガス'!E23</f>
        <v>110988</v>
      </c>
      <c r="F23" s="92">
        <f>'P合計'!F23+'B合計'!F23+'液化石油ガス'!F23</f>
        <v>84364</v>
      </c>
      <c r="G23" s="92">
        <f>'P合計'!G23+'B合計'!G23+'液化石油ガス'!G23</f>
        <v>93153</v>
      </c>
      <c r="H23" s="92">
        <f>'P合計'!H23+'B合計'!H23+'液化石油ガス'!H23</f>
        <v>55023</v>
      </c>
      <c r="I23" s="93">
        <f>'P合計'!I23+'B合計'!I23+'液化石油ガス'!I23</f>
        <v>53066</v>
      </c>
      <c r="J23" s="94">
        <f>'P合計'!J23+'B合計'!J23+'液化石油ガス'!J23</f>
        <v>478883</v>
      </c>
      <c r="K23" s="93">
        <f>'P合計'!K23+'B合計'!K23+'液化石油ガス'!K23</f>
        <v>151341</v>
      </c>
      <c r="L23" s="92">
        <f>'P合計'!L23+'B合計'!L23+'液化石油ガス'!L23</f>
        <v>64861</v>
      </c>
      <c r="M23" s="92">
        <f>'P合計'!M23+'B合計'!M23+'液化石油ガス'!M23</f>
        <v>118995</v>
      </c>
      <c r="N23" s="92">
        <f>'P合計'!N23+'B合計'!N23+'液化石油ガス'!N23</f>
        <v>24266</v>
      </c>
      <c r="O23" s="92">
        <f>'P合計'!O23+'B合計'!O23+'液化石油ガス'!O23</f>
        <v>112897</v>
      </c>
      <c r="P23" s="93">
        <f>'P合計'!P23+'B合計'!P23+'液化石油ガス'!P23</f>
        <v>110572</v>
      </c>
      <c r="Q23" s="94">
        <f>'P合計'!Q23+'B合計'!Q23+'液化石油ガス'!Q23</f>
        <v>582932</v>
      </c>
      <c r="R23" s="95">
        <f>'P合計'!R23+'B合計'!R23+'液化石油ガス'!R23</f>
        <v>1061815</v>
      </c>
      <c r="S23" s="5"/>
    </row>
    <row r="24" spans="1:19" ht="12.75" customHeight="1">
      <c r="A24" s="166"/>
      <c r="B24" s="15" t="s">
        <v>29</v>
      </c>
      <c r="C24" s="13" t="s">
        <v>5</v>
      </c>
      <c r="D24" s="91">
        <f>'P合計'!D24+'B合計'!D24+'液化石油ガス'!D24</f>
        <v>4026917</v>
      </c>
      <c r="E24" s="92">
        <f>'P合計'!E24+'B合計'!E24+'液化石油ガス'!E24</f>
        <v>5350929</v>
      </c>
      <c r="F24" s="92">
        <f>'P合計'!F24+'B合計'!F24+'液化石油ガス'!F24</f>
        <v>4067432</v>
      </c>
      <c r="G24" s="92">
        <f>'P合計'!G24+'B合計'!G24+'液化石油ガス'!G24</f>
        <v>4497586</v>
      </c>
      <c r="H24" s="92">
        <f>'P合計'!H24+'B合計'!H24+'液化石油ガス'!H24</f>
        <v>2715933</v>
      </c>
      <c r="I24" s="93">
        <f>'P合計'!I24+'B合計'!I24+'液化石油ガス'!I24</f>
        <v>2604334</v>
      </c>
      <c r="J24" s="94">
        <f>'P合計'!J24+'B合計'!J24+'液化石油ガス'!J24</f>
        <v>23263131</v>
      </c>
      <c r="K24" s="93">
        <f>'P合計'!K24+'B合計'!K24+'液化石油ガス'!K24</f>
        <v>8723729</v>
      </c>
      <c r="L24" s="92">
        <f>'P合計'!L24+'B合計'!L24+'液化石油ガス'!L24</f>
        <v>4044582</v>
      </c>
      <c r="M24" s="92">
        <f>'P合計'!M24+'B合計'!M24+'液化石油ガス'!M24</f>
        <v>8182027</v>
      </c>
      <c r="N24" s="92">
        <f>'P合計'!N24+'B合計'!N24+'液化石油ガス'!N24</f>
        <v>1626853</v>
      </c>
      <c r="O24" s="92">
        <f>'P合計'!O24+'B合計'!O24+'液化石油ガス'!O24</f>
        <v>8652702</v>
      </c>
      <c r="P24" s="93">
        <f>'P合計'!P24+'B合計'!P24+'液化石油ガス'!P24</f>
        <v>8273163</v>
      </c>
      <c r="Q24" s="94">
        <f>'P合計'!Q24+'B合計'!Q24+'液化石油ガス'!Q24</f>
        <v>39503056</v>
      </c>
      <c r="R24" s="95">
        <f>'P合計'!R24+'B合計'!R24+'液化石油ガス'!R24</f>
        <v>62766187</v>
      </c>
      <c r="S24" s="5"/>
    </row>
    <row r="25" spans="1:19" ht="12.75" customHeight="1" thickBot="1">
      <c r="A25" s="167"/>
      <c r="B25" s="16" t="s">
        <v>31</v>
      </c>
      <c r="C25" s="14" t="s">
        <v>6</v>
      </c>
      <c r="D25" s="7">
        <f aca="true" t="shared" si="6" ref="D25:R25">IF(D23=0,"",(D24/D23)*1000)</f>
        <v>48936.27337797276</v>
      </c>
      <c r="E25" s="38">
        <f t="shared" si="6"/>
        <v>48211.77965185426</v>
      </c>
      <c r="F25" s="38">
        <f t="shared" si="6"/>
        <v>48212.88701341805</v>
      </c>
      <c r="G25" s="38">
        <f t="shared" si="6"/>
        <v>48281.708586948356</v>
      </c>
      <c r="H25" s="38">
        <f t="shared" si="6"/>
        <v>49359.958562782835</v>
      </c>
      <c r="I25" s="32">
        <f t="shared" si="6"/>
        <v>49077.262277164285</v>
      </c>
      <c r="J25" s="29">
        <f t="shared" si="6"/>
        <v>48577.90107395752</v>
      </c>
      <c r="K25" s="32">
        <f t="shared" si="6"/>
        <v>57642.866110307186</v>
      </c>
      <c r="L25" s="38">
        <f t="shared" si="6"/>
        <v>62357.68797890874</v>
      </c>
      <c r="M25" s="38">
        <f t="shared" si="6"/>
        <v>68759.41846296063</v>
      </c>
      <c r="N25" s="38">
        <f t="shared" si="6"/>
        <v>67042.48743097339</v>
      </c>
      <c r="O25" s="38">
        <f t="shared" si="6"/>
        <v>76642.44399762616</v>
      </c>
      <c r="P25" s="32">
        <f t="shared" si="6"/>
        <v>74821.50092247585</v>
      </c>
      <c r="Q25" s="29">
        <f t="shared" si="6"/>
        <v>67766.14768103312</v>
      </c>
      <c r="R25" s="26">
        <f t="shared" si="6"/>
        <v>59112.16831557287</v>
      </c>
      <c r="S25" s="5"/>
    </row>
    <row r="26" spans="1:19" ht="12.75" customHeight="1">
      <c r="A26" s="165" t="s">
        <v>45</v>
      </c>
      <c r="B26" s="15" t="s">
        <v>27</v>
      </c>
      <c r="C26" s="13" t="s">
        <v>4</v>
      </c>
      <c r="D26" s="91">
        <f>'P合計'!D26+'B合計'!D26+'液化石油ガス'!D26</f>
        <v>79394</v>
      </c>
      <c r="E26" s="92">
        <f>'P合計'!E26+'B合計'!E26+'液化石油ガス'!E26</f>
        <v>34994</v>
      </c>
      <c r="F26" s="92">
        <f>'P合計'!F26+'B合計'!F26+'液化石油ガス'!F26</f>
        <v>76385</v>
      </c>
      <c r="G26" s="92">
        <f>'P合計'!G26+'B合計'!G26+'液化石油ガス'!G26</f>
        <v>33252</v>
      </c>
      <c r="H26" s="92">
        <f>'P合計'!H26+'B合計'!H26+'液化石油ガス'!H26</f>
        <v>42495</v>
      </c>
      <c r="I26" s="93">
        <f>'P合計'!I26+'B合計'!I26+'液化石油ガス'!I26</f>
        <v>57421</v>
      </c>
      <c r="J26" s="94">
        <f>'P合計'!J26+'B合計'!J26+'液化石油ガス'!J26</f>
        <v>323941</v>
      </c>
      <c r="K26" s="93">
        <f>'P合計'!K26+'B合計'!K26+'液化石油ガス'!K26</f>
        <v>31903</v>
      </c>
      <c r="L26" s="92">
        <f>'P合計'!L26+'B合計'!L26+'液化石油ガス'!L26</f>
        <v>44360</v>
      </c>
      <c r="M26" s="92">
        <f>'P合計'!M26+'B合計'!M26+'液化石油ガス'!M26</f>
        <v>102769</v>
      </c>
      <c r="N26" s="92">
        <f>'P合計'!N26+'B合計'!N26+'液化石油ガス'!N26</f>
        <v>88546</v>
      </c>
      <c r="O26" s="92">
        <f>'P合計'!O26+'B合計'!O26+'液化石油ガス'!O26</f>
        <v>35330</v>
      </c>
      <c r="P26" s="93">
        <f>'P合計'!P26+'B合計'!P26+'液化石油ガス'!P26</f>
        <v>249</v>
      </c>
      <c r="Q26" s="94">
        <f>'P合計'!Q26+'B合計'!Q26+'液化石油ガス'!Q26</f>
        <v>303157</v>
      </c>
      <c r="R26" s="95">
        <f>'P合計'!R26+'B合計'!R26+'液化石油ガス'!R26</f>
        <v>627098</v>
      </c>
      <c r="S26" s="5"/>
    </row>
    <row r="27" spans="1:19" ht="12.75" customHeight="1">
      <c r="A27" s="166"/>
      <c r="B27" s="15" t="s">
        <v>29</v>
      </c>
      <c r="C27" s="13" t="s">
        <v>5</v>
      </c>
      <c r="D27" s="91">
        <f>'P合計'!D27+'B合計'!D27+'液化石油ガス'!D27</f>
        <v>3692915</v>
      </c>
      <c r="E27" s="92">
        <f>'P合計'!E27+'B合計'!E27+'液化石油ガス'!E27</f>
        <v>1679916</v>
      </c>
      <c r="F27" s="92">
        <f>'P合計'!F27+'B合計'!F27+'液化石油ガス'!F27</f>
        <v>3665905</v>
      </c>
      <c r="G27" s="92">
        <f>'P合計'!G27+'B合計'!G27+'液化石油ガス'!G27</f>
        <v>1574922</v>
      </c>
      <c r="H27" s="92">
        <f>'P合計'!H27+'B合計'!H27+'液化石油ガス'!H27</f>
        <v>2035567</v>
      </c>
      <c r="I27" s="93">
        <f>'P合計'!I27+'B合計'!I27+'液化石油ガス'!I27</f>
        <v>3101672</v>
      </c>
      <c r="J27" s="94">
        <f>'P合計'!J27+'B合計'!J27+'液化石油ガス'!J27</f>
        <v>15750897</v>
      </c>
      <c r="K27" s="93">
        <f>'P合計'!K27+'B合計'!K27+'液化石油ガス'!K27</f>
        <v>1693120</v>
      </c>
      <c r="L27" s="92">
        <f>'P合計'!L27+'B合計'!L27+'液化石油ガス'!L27</f>
        <v>2786374</v>
      </c>
      <c r="M27" s="92">
        <f>'P合計'!M27+'B合計'!M27+'液化石油ガス'!M27</f>
        <v>6830846</v>
      </c>
      <c r="N27" s="92">
        <f>'P合計'!N27+'B合計'!N27+'液化石油ガス'!N27</f>
        <v>5975561</v>
      </c>
      <c r="O27" s="92">
        <f>'P合計'!O27+'B合計'!O27+'液化石油ガス'!O27</f>
        <v>2691883</v>
      </c>
      <c r="P27" s="93">
        <f>'P合計'!P27+'B合計'!P27+'液化石油ガス'!P27</f>
        <v>5792</v>
      </c>
      <c r="Q27" s="94">
        <f>'P合計'!Q27+'B合計'!Q27+'液化石油ガス'!Q27</f>
        <v>19983576</v>
      </c>
      <c r="R27" s="95">
        <f>'P合計'!R27+'B合計'!R27+'液化石油ガス'!R27</f>
        <v>35734473</v>
      </c>
      <c r="S27" s="5"/>
    </row>
    <row r="28" spans="1:19" ht="12.75" customHeight="1" thickBot="1">
      <c r="A28" s="167"/>
      <c r="B28" s="16" t="s">
        <v>31</v>
      </c>
      <c r="C28" s="14" t="s">
        <v>6</v>
      </c>
      <c r="D28" s="7">
        <f aca="true" t="shared" si="7" ref="D28:R28">IF(D26=0,"",(D27/D26)*1000)</f>
        <v>46513.77937879437</v>
      </c>
      <c r="E28" s="38">
        <f t="shared" si="7"/>
        <v>48005.829570783564</v>
      </c>
      <c r="F28" s="38">
        <f t="shared" si="7"/>
        <v>47992.472344046604</v>
      </c>
      <c r="G28" s="38">
        <f t="shared" si="7"/>
        <v>47363.22627210394</v>
      </c>
      <c r="H28" s="38">
        <f t="shared" si="7"/>
        <v>47901.32956818449</v>
      </c>
      <c r="I28" s="32">
        <f t="shared" si="7"/>
        <v>54016.33548701694</v>
      </c>
      <c r="J28" s="29">
        <f t="shared" si="7"/>
        <v>48622.73376942098</v>
      </c>
      <c r="K28" s="32">
        <f t="shared" si="7"/>
        <v>53070.87107795505</v>
      </c>
      <c r="L28" s="38">
        <f t="shared" si="7"/>
        <v>62812.75924256087</v>
      </c>
      <c r="M28" s="38">
        <f t="shared" si="7"/>
        <v>66467.96212865747</v>
      </c>
      <c r="N28" s="38">
        <f t="shared" si="7"/>
        <v>67485.38612698484</v>
      </c>
      <c r="O28" s="38">
        <f t="shared" si="7"/>
        <v>76192.55590150015</v>
      </c>
      <c r="P28" s="32">
        <f t="shared" si="7"/>
        <v>23261.04417670683</v>
      </c>
      <c r="Q28" s="29">
        <f t="shared" si="7"/>
        <v>65918.24038369558</v>
      </c>
      <c r="R28" s="26">
        <f t="shared" si="7"/>
        <v>56983.87333399246</v>
      </c>
      <c r="S28" s="5"/>
    </row>
    <row r="29" spans="1:19" ht="12.75" customHeight="1">
      <c r="A29" s="165" t="s">
        <v>47</v>
      </c>
      <c r="B29" s="15" t="s">
        <v>27</v>
      </c>
      <c r="C29" s="13" t="s">
        <v>4</v>
      </c>
      <c r="D29" s="91">
        <f>'P合計'!D29+'B合計'!D29+'液化石油ガス'!D29</f>
        <v>1195</v>
      </c>
      <c r="E29" s="92">
        <f>'P合計'!E29+'B合計'!E29+'液化石油ガス'!E29</f>
        <v>1110</v>
      </c>
      <c r="F29" s="92">
        <f>'P合計'!F29+'B合計'!F29+'液化石油ガス'!F29</f>
        <v>1110</v>
      </c>
      <c r="G29" s="92">
        <f>'P合計'!G29+'B合計'!G29+'液化石油ガス'!G29</f>
        <v>476</v>
      </c>
      <c r="H29" s="92">
        <f>'P合計'!H29+'B合計'!H29+'液化石油ガス'!H29</f>
        <v>2168</v>
      </c>
      <c r="I29" s="93">
        <f>'P合計'!I29+'B合計'!I29+'液化石油ガス'!I29</f>
        <v>1867</v>
      </c>
      <c r="J29" s="94">
        <f>'P合計'!J29+'B合計'!J29+'液化石油ガス'!J29</f>
        <v>7926</v>
      </c>
      <c r="K29" s="93">
        <f>'P合計'!K29+'B合計'!K29+'液化石油ガス'!K29</f>
        <v>2370</v>
      </c>
      <c r="L29" s="92">
        <f>'P合計'!L29+'B合計'!L29+'液化石油ガス'!L29</f>
        <v>2756</v>
      </c>
      <c r="M29" s="92">
        <f>'P合計'!M29+'B合計'!M29+'液化石油ガス'!M29</f>
        <v>3102</v>
      </c>
      <c r="N29" s="92">
        <f>'P合計'!N29+'B合計'!N29+'液化石油ガス'!N29</f>
        <v>3721</v>
      </c>
      <c r="O29" s="92">
        <f>'P合計'!O29+'B合計'!O29+'液化石油ガス'!O29</f>
        <v>901</v>
      </c>
      <c r="P29" s="93">
        <f>'P合計'!P29+'B合計'!P29+'液化石油ガス'!P29</f>
        <v>2678</v>
      </c>
      <c r="Q29" s="94">
        <f>'P合計'!Q29+'B合計'!Q29+'液化石油ガス'!Q29</f>
        <v>15528</v>
      </c>
      <c r="R29" s="95">
        <f>'P合計'!R29+'B合計'!R29+'液化石油ガス'!R29</f>
        <v>23454</v>
      </c>
      <c r="S29" s="5"/>
    </row>
    <row r="30" spans="1:19" ht="12.75" customHeight="1">
      <c r="A30" s="166"/>
      <c r="B30" s="15" t="s">
        <v>29</v>
      </c>
      <c r="C30" s="13" t="s">
        <v>5</v>
      </c>
      <c r="D30" s="91">
        <f>'P合計'!D30+'B合計'!D30+'液化石油ガス'!D30</f>
        <v>128924</v>
      </c>
      <c r="E30" s="92">
        <f>'P合計'!E30+'B合計'!E30+'液化石油ガス'!E30</f>
        <v>114520</v>
      </c>
      <c r="F30" s="92">
        <f>'P合計'!F30+'B合計'!F30+'液化石油ガス'!F30</f>
        <v>114488</v>
      </c>
      <c r="G30" s="92">
        <f>'P合計'!G30+'B合計'!G30+'液化石油ガス'!G30</f>
        <v>101291</v>
      </c>
      <c r="H30" s="92">
        <f>'P合計'!H30+'B合計'!H30+'液化石油ガス'!H30</f>
        <v>220618</v>
      </c>
      <c r="I30" s="93">
        <f>'P合計'!I30+'B合計'!I30+'液化石油ガス'!I30</f>
        <v>276278</v>
      </c>
      <c r="J30" s="94">
        <f>'P合計'!J30+'B合計'!J30+'液化石油ガス'!J30</f>
        <v>956119</v>
      </c>
      <c r="K30" s="93">
        <f>'P合計'!K30+'B合計'!K30+'液化石油ガス'!K30</f>
        <v>395954</v>
      </c>
      <c r="L30" s="92">
        <f>'P合計'!L30+'B合計'!L30+'液化石油ガス'!L30</f>
        <v>540919</v>
      </c>
      <c r="M30" s="92">
        <f>'P合計'!M30+'B合計'!M30+'液化石油ガス'!M30</f>
        <v>538731</v>
      </c>
      <c r="N30" s="92">
        <f>'P合計'!N30+'B合計'!N30+'液化石油ガス'!N30</f>
        <v>528574</v>
      </c>
      <c r="O30" s="92">
        <f>'P合計'!O30+'B合計'!O30+'液化石油ガス'!O30</f>
        <v>198080</v>
      </c>
      <c r="P30" s="93">
        <f>'P合計'!P30+'B合計'!P30+'液化石油ガス'!P30</f>
        <v>281218</v>
      </c>
      <c r="Q30" s="94">
        <f>'P合計'!Q30+'B合計'!Q30+'液化石油ガス'!Q30</f>
        <v>2483476</v>
      </c>
      <c r="R30" s="95">
        <f>'P合計'!R30+'B合計'!R30+'液化石油ガス'!R30</f>
        <v>3439595</v>
      </c>
      <c r="S30" s="5"/>
    </row>
    <row r="31" spans="1:19" ht="12.75" customHeight="1" thickBot="1">
      <c r="A31" s="167"/>
      <c r="B31" s="16" t="s">
        <v>31</v>
      </c>
      <c r="C31" s="14" t="s">
        <v>6</v>
      </c>
      <c r="D31" s="7">
        <f aca="true" t="shared" si="8" ref="D31:R31">IF(D29=0,"",(D30/D29)*1000)</f>
        <v>107886.19246861924</v>
      </c>
      <c r="E31" s="38">
        <f t="shared" si="8"/>
        <v>103171.17117117117</v>
      </c>
      <c r="F31" s="38">
        <f t="shared" si="8"/>
        <v>103142.34234234235</v>
      </c>
      <c r="G31" s="38">
        <f t="shared" si="8"/>
        <v>212796.21848739494</v>
      </c>
      <c r="H31" s="38">
        <f t="shared" si="8"/>
        <v>101761.07011070111</v>
      </c>
      <c r="I31" s="32">
        <f t="shared" si="8"/>
        <v>147979.6464916979</v>
      </c>
      <c r="J31" s="29">
        <f t="shared" si="8"/>
        <v>120630.70905879384</v>
      </c>
      <c r="K31" s="32">
        <f t="shared" si="8"/>
        <v>167069.1983122363</v>
      </c>
      <c r="L31" s="38">
        <f t="shared" si="8"/>
        <v>196269.59361393325</v>
      </c>
      <c r="M31" s="38">
        <f t="shared" si="8"/>
        <v>173672.14700193424</v>
      </c>
      <c r="N31" s="38">
        <f t="shared" si="8"/>
        <v>142051.59903251813</v>
      </c>
      <c r="O31" s="38">
        <f t="shared" si="8"/>
        <v>219844.61709211988</v>
      </c>
      <c r="P31" s="32">
        <f t="shared" si="8"/>
        <v>105010.45556385363</v>
      </c>
      <c r="Q31" s="29">
        <f t="shared" si="8"/>
        <v>159935.34260690364</v>
      </c>
      <c r="R31" s="26">
        <f t="shared" si="8"/>
        <v>146652.80975526563</v>
      </c>
      <c r="S31" s="5"/>
    </row>
    <row r="32" spans="1:19" ht="12.75" customHeight="1">
      <c r="A32" s="165" t="s">
        <v>49</v>
      </c>
      <c r="B32" s="15" t="s">
        <v>27</v>
      </c>
      <c r="C32" s="13" t="s">
        <v>4</v>
      </c>
      <c r="D32" s="6">
        <f>'P合計'!D32+'B合計'!D32+'液化石油ガス'!D32</f>
        <v>0</v>
      </c>
      <c r="E32" s="37">
        <f>'P合計'!E32+'B合計'!E32+'液化石油ガス'!E32</f>
        <v>0</v>
      </c>
      <c r="F32" s="37">
        <f>'P合計'!F32+'B合計'!F32+'液化石油ガス'!F32</f>
        <v>0</v>
      </c>
      <c r="G32" s="37">
        <f>'P合計'!G32+'B合計'!G32+'液化石油ガス'!G32</f>
        <v>0</v>
      </c>
      <c r="H32" s="37">
        <f>'P合計'!H32+'B合計'!H32+'液化石油ガス'!H32</f>
        <v>0</v>
      </c>
      <c r="I32" s="31">
        <f>'P合計'!I32+'B合計'!I32+'液化石油ガス'!I32</f>
        <v>0</v>
      </c>
      <c r="J32" s="28">
        <f>'P合計'!J32+'B合計'!J32+'液化石油ガス'!J32</f>
        <v>0</v>
      </c>
      <c r="K32" s="31">
        <f>'P合計'!K32+'B合計'!K32+'液化石油ガス'!K32</f>
        <v>0</v>
      </c>
      <c r="L32" s="37">
        <f>'P合計'!L32+'B合計'!L32+'液化石油ガス'!L32</f>
        <v>0</v>
      </c>
      <c r="M32" s="37">
        <f>'P合計'!M32+'B合計'!M32+'液化石油ガス'!M32</f>
        <v>0</v>
      </c>
      <c r="N32" s="37">
        <f>'P合計'!N32+'B合計'!N32+'液化石油ガス'!N32</f>
        <v>0</v>
      </c>
      <c r="O32" s="37">
        <f>'P合計'!O32+'B合計'!O32+'液化石油ガス'!O32</f>
        <v>0</v>
      </c>
      <c r="P32" s="31">
        <f>'P合計'!P32+'B合計'!P32+'液化石油ガス'!P32</f>
        <v>0</v>
      </c>
      <c r="Q32" s="28">
        <f>'P合計'!Q32+'B合計'!Q32+'液化石油ガス'!Q32</f>
        <v>0</v>
      </c>
      <c r="R32" s="25">
        <f>'P合計'!R32+'B合計'!R32+'液化石油ガス'!R32</f>
        <v>0</v>
      </c>
      <c r="S32" s="5"/>
    </row>
    <row r="33" spans="1:19" ht="12.75" customHeight="1">
      <c r="A33" s="166"/>
      <c r="B33" s="15" t="s">
        <v>29</v>
      </c>
      <c r="C33" s="13" t="s">
        <v>5</v>
      </c>
      <c r="D33" s="6">
        <f>'P合計'!D33+'B合計'!D33+'液化石油ガス'!D33</f>
        <v>0</v>
      </c>
      <c r="E33" s="37">
        <f>'P合計'!E33+'B合計'!E33+'液化石油ガス'!E33</f>
        <v>0</v>
      </c>
      <c r="F33" s="37">
        <f>'P合計'!F33+'B合計'!F33+'液化石油ガス'!F33</f>
        <v>0</v>
      </c>
      <c r="G33" s="37">
        <f>'P合計'!G33+'B合計'!G33+'液化石油ガス'!G33</f>
        <v>0</v>
      </c>
      <c r="H33" s="37">
        <f>'P合計'!H33+'B合計'!H33+'液化石油ガス'!H33</f>
        <v>0</v>
      </c>
      <c r="I33" s="31">
        <f>'P合計'!I33+'B合計'!I33+'液化石油ガス'!I33</f>
        <v>0</v>
      </c>
      <c r="J33" s="28">
        <f>'P合計'!J33+'B合計'!J33+'液化石油ガス'!J33</f>
        <v>0</v>
      </c>
      <c r="K33" s="31">
        <f>'P合計'!K33+'B合計'!K33+'液化石油ガス'!K33</f>
        <v>0</v>
      </c>
      <c r="L33" s="37">
        <f>'P合計'!L33+'B合計'!L33+'液化石油ガス'!L33</f>
        <v>0</v>
      </c>
      <c r="M33" s="37">
        <f>'P合計'!M33+'B合計'!M33+'液化石油ガス'!M33</f>
        <v>0</v>
      </c>
      <c r="N33" s="37">
        <f>'P合計'!N33+'B合計'!N33+'液化石油ガス'!N33</f>
        <v>0</v>
      </c>
      <c r="O33" s="37">
        <f>'P合計'!O33+'B合計'!O33+'液化石油ガス'!O33</f>
        <v>0</v>
      </c>
      <c r="P33" s="31">
        <f>'P合計'!P33+'B合計'!P33+'液化石油ガス'!P33</f>
        <v>0</v>
      </c>
      <c r="Q33" s="28">
        <f>'P合計'!Q33+'B合計'!Q33+'液化石油ガス'!Q33</f>
        <v>0</v>
      </c>
      <c r="R33" s="25">
        <f>'P合計'!R33+'B合計'!R33+'液化石油ガス'!R33</f>
        <v>0</v>
      </c>
      <c r="S33" s="5"/>
    </row>
    <row r="34" spans="1:19" ht="12.75" customHeight="1" thickBot="1">
      <c r="A34" s="167"/>
      <c r="B34" s="16" t="s">
        <v>31</v>
      </c>
      <c r="C34" s="14" t="s">
        <v>6</v>
      </c>
      <c r="D34" s="7">
        <f aca="true" t="shared" si="9" ref="D34:R34">IF(D32=0,"",(D33/D32)*1000)</f>
      </c>
      <c r="E34" s="38">
        <f t="shared" si="9"/>
      </c>
      <c r="F34" s="38">
        <f t="shared" si="9"/>
      </c>
      <c r="G34" s="38">
        <f t="shared" si="9"/>
      </c>
      <c r="H34" s="38">
        <f t="shared" si="9"/>
      </c>
      <c r="I34" s="32">
        <f t="shared" si="9"/>
      </c>
      <c r="J34" s="29">
        <f t="shared" si="9"/>
      </c>
      <c r="K34" s="32">
        <f t="shared" si="9"/>
      </c>
      <c r="L34" s="38">
        <f t="shared" si="9"/>
      </c>
      <c r="M34" s="38">
        <f t="shared" si="9"/>
      </c>
      <c r="N34" s="38">
        <f t="shared" si="9"/>
      </c>
      <c r="O34" s="38">
        <f t="shared" si="9"/>
      </c>
      <c r="P34" s="32">
        <f t="shared" si="9"/>
      </c>
      <c r="Q34" s="29">
        <f t="shared" si="9"/>
      </c>
      <c r="R34" s="26">
        <f t="shared" si="9"/>
      </c>
      <c r="S34" s="5"/>
    </row>
    <row r="35" spans="1:19" ht="12.75" customHeight="1">
      <c r="A35" s="165" t="s">
        <v>51</v>
      </c>
      <c r="B35" s="15" t="s">
        <v>27</v>
      </c>
      <c r="C35" s="13" t="s">
        <v>4</v>
      </c>
      <c r="D35" s="91">
        <f>'P合計'!D35+'B合計'!D35+'液化石油ガス'!D35</f>
        <v>24252</v>
      </c>
      <c r="E35" s="92">
        <f>'P合計'!E35+'B合計'!E35+'液化石油ガス'!E35</f>
        <v>17575</v>
      </c>
      <c r="F35" s="92">
        <f>'P合計'!F35+'B合計'!F35+'液化石油ガス'!F35</f>
        <v>53098</v>
      </c>
      <c r="G35" s="92">
        <f>'P合計'!G35+'B合計'!G35+'液化石油ガス'!G35</f>
        <v>0</v>
      </c>
      <c r="H35" s="92">
        <f>'P合計'!H35+'B合計'!H35+'液化石油ガス'!H35</f>
        <v>0</v>
      </c>
      <c r="I35" s="93">
        <f>'P合計'!I35+'B合計'!I35+'液化石油ガス'!I35</f>
        <v>39171</v>
      </c>
      <c r="J35" s="94">
        <f>'P合計'!J35+'B合計'!J35+'液化石油ガス'!J35</f>
        <v>134096</v>
      </c>
      <c r="K35" s="93">
        <f>'P合計'!K35+'B合計'!K35+'液化石油ガス'!K35</f>
        <v>570</v>
      </c>
      <c r="L35" s="92">
        <f>'P合計'!L35+'B合計'!L35+'液化石油ガス'!L35</f>
        <v>0</v>
      </c>
      <c r="M35" s="92">
        <f>'P合計'!M35+'B合計'!M35+'液化石油ガス'!M35</f>
        <v>0</v>
      </c>
      <c r="N35" s="92">
        <f>'P合計'!N35+'B合計'!N35+'液化石油ガス'!N35</f>
        <v>44155</v>
      </c>
      <c r="O35" s="92">
        <f>'P合計'!O35+'B合計'!O35+'液化石油ガス'!O35</f>
        <v>20311</v>
      </c>
      <c r="P35" s="93">
        <f>'P合計'!P35+'B合計'!P35+'液化石油ガス'!P35</f>
        <v>0</v>
      </c>
      <c r="Q35" s="94">
        <f>'P合計'!Q35+'B合計'!Q35+'液化石油ガス'!Q35</f>
        <v>65036</v>
      </c>
      <c r="R35" s="95">
        <f>'P合計'!R35+'B合計'!R35+'液化石油ガス'!R35</f>
        <v>199132</v>
      </c>
      <c r="S35" s="5"/>
    </row>
    <row r="36" spans="1:19" ht="12.75" customHeight="1">
      <c r="A36" s="166"/>
      <c r="B36" s="15" t="s">
        <v>29</v>
      </c>
      <c r="C36" s="13" t="s">
        <v>5</v>
      </c>
      <c r="D36" s="91">
        <f>'P合計'!D36+'B合計'!D36+'液化石油ガス'!D36</f>
        <v>1063185</v>
      </c>
      <c r="E36" s="92">
        <f>'P合計'!E36+'B合計'!E36+'液化石油ガス'!E36</f>
        <v>841988</v>
      </c>
      <c r="F36" s="92">
        <f>'P合計'!F36+'B合計'!F36+'液化石油ガス'!F36</f>
        <v>2451240</v>
      </c>
      <c r="G36" s="92">
        <f>'P合計'!G36+'B合計'!G36+'液化石油ガス'!G36</f>
        <v>0</v>
      </c>
      <c r="H36" s="92">
        <f>'P合計'!H36+'B合計'!H36+'液化石油ガス'!H36</f>
        <v>0</v>
      </c>
      <c r="I36" s="93">
        <f>'P合計'!I36+'B合計'!I36+'液化石油ガス'!I36</f>
        <v>1910998</v>
      </c>
      <c r="J36" s="94">
        <f>'P合計'!J36+'B合計'!J36+'液化石油ガス'!J36</f>
        <v>6267411</v>
      </c>
      <c r="K36" s="93">
        <f>'P合計'!K36+'B合計'!K36+'液化石油ガス'!K36</f>
        <v>25655</v>
      </c>
      <c r="L36" s="92">
        <f>'P合計'!L36+'B合計'!L36+'液化石油ガス'!L36</f>
        <v>0</v>
      </c>
      <c r="M36" s="92">
        <f>'P合計'!M36+'B合計'!M36+'液化石油ガス'!M36</f>
        <v>0</v>
      </c>
      <c r="N36" s="92">
        <f>'P合計'!N36+'B合計'!N36+'液化石油ガス'!N36</f>
        <v>2897009</v>
      </c>
      <c r="O36" s="92">
        <f>'P合計'!O36+'B合計'!O36+'液化石油ガス'!O36</f>
        <v>1521530</v>
      </c>
      <c r="P36" s="93">
        <f>'P合計'!P36+'B合計'!P36+'液化石油ガス'!P36</f>
        <v>0</v>
      </c>
      <c r="Q36" s="94">
        <f>'P合計'!Q36+'B合計'!Q36+'液化石油ガス'!Q36</f>
        <v>4444194</v>
      </c>
      <c r="R36" s="95">
        <f>'P合計'!R36+'B合計'!R36+'液化石油ガス'!R36</f>
        <v>10711605</v>
      </c>
      <c r="S36" s="5"/>
    </row>
    <row r="37" spans="1:19" ht="12.75" customHeight="1" thickBot="1">
      <c r="A37" s="167"/>
      <c r="B37" s="16" t="s">
        <v>31</v>
      </c>
      <c r="C37" s="14" t="s">
        <v>6</v>
      </c>
      <c r="D37" s="7">
        <f aca="true" t="shared" si="10" ref="D37:R37">IF(D35=0,"",(D36/D35)*1000)</f>
        <v>43839.06481939634</v>
      </c>
      <c r="E37" s="38">
        <f t="shared" si="10"/>
        <v>47908.278805120906</v>
      </c>
      <c r="F37" s="38">
        <f t="shared" si="10"/>
        <v>46164.450638442126</v>
      </c>
      <c r="G37" s="38">
        <f t="shared" si="10"/>
      </c>
      <c r="H37" s="38">
        <f t="shared" si="10"/>
      </c>
      <c r="I37" s="32">
        <f t="shared" si="10"/>
        <v>48786.040693370094</v>
      </c>
      <c r="J37" s="29">
        <f t="shared" si="10"/>
        <v>46738.239768524036</v>
      </c>
      <c r="K37" s="32">
        <f t="shared" si="10"/>
        <v>45008.771929824565</v>
      </c>
      <c r="L37" s="38">
        <f t="shared" si="10"/>
      </c>
      <c r="M37" s="38">
        <f t="shared" si="10"/>
      </c>
      <c r="N37" s="38">
        <f t="shared" si="10"/>
        <v>65609.98754387951</v>
      </c>
      <c r="O37" s="38">
        <f t="shared" si="10"/>
        <v>74911.62424302103</v>
      </c>
      <c r="P37" s="32">
        <f t="shared" si="10"/>
      </c>
      <c r="Q37" s="29">
        <f t="shared" si="10"/>
        <v>68334.36865735901</v>
      </c>
      <c r="R37" s="26">
        <f t="shared" si="10"/>
        <v>53791.48002330113</v>
      </c>
      <c r="S37" s="5"/>
    </row>
    <row r="38" spans="1:19" ht="12.75" customHeight="1">
      <c r="A38" s="165" t="s">
        <v>53</v>
      </c>
      <c r="B38" s="15" t="s">
        <v>27</v>
      </c>
      <c r="C38" s="13" t="s">
        <v>4</v>
      </c>
      <c r="D38" s="91">
        <f>'P合計'!D38+'B合計'!D38+'液化石油ガス'!D38</f>
        <v>128</v>
      </c>
      <c r="E38" s="92">
        <f>'P合計'!E38+'B合計'!E38+'液化石油ガス'!E38</f>
        <v>139</v>
      </c>
      <c r="F38" s="92">
        <f>'P合計'!F38+'B合計'!F38+'液化石油ガス'!F38</f>
        <v>46319</v>
      </c>
      <c r="G38" s="92">
        <f>'P合計'!G38+'B合計'!G38+'液化石油ガス'!G38</f>
        <v>106</v>
      </c>
      <c r="H38" s="92">
        <f>'P合計'!H38+'B合計'!H38+'液化石油ガス'!H38</f>
        <v>14880</v>
      </c>
      <c r="I38" s="93">
        <f>'P合計'!I38+'B合計'!I38+'液化石油ガス'!I38</f>
        <v>18230</v>
      </c>
      <c r="J38" s="94">
        <f>'P合計'!J38+'B合計'!J38+'液化石油ガス'!J38</f>
        <v>79802</v>
      </c>
      <c r="K38" s="93">
        <f>'P合計'!K38+'B合計'!K38+'液化石油ガス'!K38</f>
        <v>293</v>
      </c>
      <c r="L38" s="92">
        <f>'P合計'!L38+'B合計'!L38+'液化石油ガス'!L38</f>
        <v>192</v>
      </c>
      <c r="M38" s="92">
        <f>'P合計'!M38+'B合計'!M38+'液化石油ガス'!M38</f>
        <v>78</v>
      </c>
      <c r="N38" s="92">
        <f>'P合計'!N38+'B合計'!N38+'液化石油ガス'!N38</f>
        <v>128</v>
      </c>
      <c r="O38" s="92">
        <f>'P合計'!O38+'B合計'!O38+'液化石油ガス'!O38</f>
        <v>45000</v>
      </c>
      <c r="P38" s="93">
        <f>'P合計'!P38+'B合計'!P38+'液化石油ガス'!P38</f>
        <v>54817</v>
      </c>
      <c r="Q38" s="94">
        <f>'P合計'!Q38+'B合計'!Q38+'液化石油ガス'!Q38</f>
        <v>100508</v>
      </c>
      <c r="R38" s="95">
        <f>'P合計'!R38+'B合計'!R38+'液化石油ガス'!R38</f>
        <v>180310</v>
      </c>
      <c r="S38" s="5"/>
    </row>
    <row r="39" spans="1:19" ht="12.75" customHeight="1">
      <c r="A39" s="166"/>
      <c r="B39" s="15" t="s">
        <v>29</v>
      </c>
      <c r="C39" s="13" t="s">
        <v>5</v>
      </c>
      <c r="D39" s="91">
        <f>'P合計'!D39+'B合計'!D39+'液化石油ガス'!D39</f>
        <v>69448</v>
      </c>
      <c r="E39" s="92">
        <f>'P合計'!E39+'B合計'!E39+'液化石油ガス'!E39</f>
        <v>54441</v>
      </c>
      <c r="F39" s="92">
        <f>'P合計'!F39+'B合計'!F39+'液化石油ガス'!F39</f>
        <v>2342629</v>
      </c>
      <c r="G39" s="92">
        <f>'P合計'!G39+'B合計'!G39+'液化石油ガス'!G39</f>
        <v>43860</v>
      </c>
      <c r="H39" s="92">
        <f>'P合計'!H39+'B合計'!H39+'液化石油ガス'!H39</f>
        <v>746710</v>
      </c>
      <c r="I39" s="93">
        <f>'P合計'!I39+'B合計'!I39+'液化石油ガス'!I39</f>
        <v>906171</v>
      </c>
      <c r="J39" s="94">
        <f>'P合計'!J39+'B合計'!J39+'液化石油ガス'!J39</f>
        <v>4163259</v>
      </c>
      <c r="K39" s="93">
        <f>'P合計'!K39+'B合計'!K39+'液化石油ガス'!K39</f>
        <v>111562</v>
      </c>
      <c r="L39" s="92">
        <f>'P合計'!L39+'B合計'!L39+'液化石油ガス'!L39</f>
        <v>97507</v>
      </c>
      <c r="M39" s="92">
        <f>'P合計'!M39+'B合計'!M39+'液化石油ガス'!M39</f>
        <v>57156</v>
      </c>
      <c r="N39" s="92">
        <f>'P合計'!N39+'B合計'!N39+'液化石油ガス'!N39</f>
        <v>85508</v>
      </c>
      <c r="O39" s="92">
        <f>'P合計'!O39+'B合計'!O39+'液化石油ガス'!O39</f>
        <v>3567109</v>
      </c>
      <c r="P39" s="93">
        <f>'P合計'!P39+'B合計'!P39+'液化石油ガス'!P39</f>
        <v>4024568</v>
      </c>
      <c r="Q39" s="94">
        <f>'P合計'!Q39+'B合計'!Q39+'液化石油ガス'!Q39</f>
        <v>7943410</v>
      </c>
      <c r="R39" s="95">
        <f>'P合計'!R39+'B合計'!R39+'液化石油ガス'!R39</f>
        <v>12106669</v>
      </c>
      <c r="S39" s="5"/>
    </row>
    <row r="40" spans="1:19" ht="12.75" customHeight="1" thickBot="1">
      <c r="A40" s="167"/>
      <c r="B40" s="16" t="s">
        <v>31</v>
      </c>
      <c r="C40" s="14" t="s">
        <v>6</v>
      </c>
      <c r="D40" s="7">
        <f aca="true" t="shared" si="11" ref="D40:R40">IF(D38=0,"",(D39/D38)*1000)</f>
        <v>542562.5</v>
      </c>
      <c r="E40" s="38">
        <f t="shared" si="11"/>
        <v>391661.87050359714</v>
      </c>
      <c r="F40" s="38">
        <f t="shared" si="11"/>
        <v>50575.98393747706</v>
      </c>
      <c r="G40" s="38">
        <f t="shared" si="11"/>
        <v>413773.58490566036</v>
      </c>
      <c r="H40" s="38">
        <f t="shared" si="11"/>
        <v>50182.12365591398</v>
      </c>
      <c r="I40" s="32">
        <f t="shared" si="11"/>
        <v>49707.67964893034</v>
      </c>
      <c r="J40" s="29">
        <f t="shared" si="11"/>
        <v>52169.85789829829</v>
      </c>
      <c r="K40" s="32">
        <f t="shared" si="11"/>
        <v>380757.67918088735</v>
      </c>
      <c r="L40" s="38">
        <f t="shared" si="11"/>
        <v>507848.9583333333</v>
      </c>
      <c r="M40" s="38">
        <f t="shared" si="11"/>
        <v>732769.2307692308</v>
      </c>
      <c r="N40" s="38">
        <f t="shared" si="11"/>
        <v>668031.25</v>
      </c>
      <c r="O40" s="38">
        <f t="shared" si="11"/>
        <v>79269.08888888889</v>
      </c>
      <c r="P40" s="32">
        <f t="shared" si="11"/>
        <v>73418.246164511</v>
      </c>
      <c r="Q40" s="29">
        <f t="shared" si="11"/>
        <v>79032.61431925817</v>
      </c>
      <c r="R40" s="26">
        <f t="shared" si="11"/>
        <v>67143.63596029062</v>
      </c>
      <c r="S40" s="5"/>
    </row>
    <row r="41" spans="1:19" ht="12.75" customHeight="1">
      <c r="A41" s="165" t="s">
        <v>7</v>
      </c>
      <c r="B41" s="15" t="s">
        <v>27</v>
      </c>
      <c r="C41" s="13" t="s">
        <v>4</v>
      </c>
      <c r="D41" s="91">
        <f>'P合計'!D41+'B合計'!D41+'液化石油ガス'!D41</f>
        <v>1017580</v>
      </c>
      <c r="E41" s="92">
        <f>'P合計'!E41+'B合計'!E41+'液化石油ガス'!E41</f>
        <v>1158294</v>
      </c>
      <c r="F41" s="92">
        <f>'P合計'!F41+'B合計'!F41+'液化石油ガス'!F41</f>
        <v>1191390</v>
      </c>
      <c r="G41" s="92">
        <f>'P合計'!G41+'B合計'!G41+'液化石油ガス'!G41</f>
        <v>987417</v>
      </c>
      <c r="H41" s="92">
        <f>'P合計'!H41+'B合計'!H41+'液化石油ガス'!H41</f>
        <v>916057</v>
      </c>
      <c r="I41" s="93">
        <f>'P合計'!I41+'B合計'!I41+'液化石油ガス'!I41</f>
        <v>1093486</v>
      </c>
      <c r="J41" s="94">
        <f>'P合計'!J41+'B合計'!J41+'液化石油ガス'!J41</f>
        <v>6364224</v>
      </c>
      <c r="K41" s="93">
        <f>'P合計'!K41+'B合計'!K41+'液化石油ガス'!K41</f>
        <v>948252</v>
      </c>
      <c r="L41" s="92">
        <f>'P合計'!L41+'B合計'!L41+'液化石油ガス'!L41</f>
        <v>954630</v>
      </c>
      <c r="M41" s="92">
        <f>'P合計'!M41+'B合計'!M41+'液化石油ガス'!M41</f>
        <v>1323673</v>
      </c>
      <c r="N41" s="92">
        <f>'P合計'!N41+'B合計'!N41+'液化石油ガス'!N41</f>
        <v>1312764</v>
      </c>
      <c r="O41" s="92">
        <f>'P合計'!O41+'B合計'!O41+'液化石油ガス'!O41</f>
        <v>1255263</v>
      </c>
      <c r="P41" s="93">
        <f>'P合計'!P41+'B合計'!P41+'液化石油ガス'!P41</f>
        <v>1555158</v>
      </c>
      <c r="Q41" s="94">
        <f>'P合計'!Q41+'B合計'!Q41+'液化石油ガス'!Q41</f>
        <v>7349740</v>
      </c>
      <c r="R41" s="95">
        <f>'P合計'!R41+'B合計'!R41+'液化石油ガス'!R41</f>
        <v>13713964</v>
      </c>
      <c r="S41" s="5"/>
    </row>
    <row r="42" spans="1:19" ht="12.75" customHeight="1">
      <c r="A42" s="166"/>
      <c r="B42" s="15" t="s">
        <v>29</v>
      </c>
      <c r="C42" s="13" t="s">
        <v>5</v>
      </c>
      <c r="D42" s="91">
        <f>'P合計'!D42+'B合計'!D42+'液化石油ガス'!D42</f>
        <v>47241004</v>
      </c>
      <c r="E42" s="92">
        <f>'P合計'!E42+'B合計'!E42+'液化石油ガス'!E42</f>
        <v>55590865</v>
      </c>
      <c r="F42" s="92">
        <f>'P合計'!F42+'B合計'!F42+'液化石油ガス'!F42</f>
        <v>57473439</v>
      </c>
      <c r="G42" s="141">
        <f>'P合計'!G42+'B合計'!G42+'液化石油ガス'!G42</f>
        <v>47015709</v>
      </c>
      <c r="H42" s="141">
        <f>'P合計'!H42+'B合計'!H42+'液化石油ガス'!H42</f>
        <v>43579685</v>
      </c>
      <c r="I42" s="142">
        <f>'P合計'!I42+'B合計'!I42+'液化石油ガス'!I42</f>
        <v>54052468</v>
      </c>
      <c r="J42" s="143">
        <f>'P合計'!J42+'B合計'!J42+'液化石油ガス'!J42</f>
        <v>304953170</v>
      </c>
      <c r="K42" s="142">
        <f>'P合計'!K42+'B合計'!K42+'液化石油ガス'!K42</f>
        <v>52676378</v>
      </c>
      <c r="L42" s="92">
        <f>'P合計'!L42+'B合計'!L42+'液化石油ガス'!L42</f>
        <v>60387611</v>
      </c>
      <c r="M42" s="92">
        <f>'P合計'!M42+'B合計'!M42+'液化石油ガス'!M42</f>
        <v>90895780</v>
      </c>
      <c r="N42" s="92">
        <f>'P合計'!N42+'B合計'!N42+'液化石油ガス'!N42</f>
        <v>89308079</v>
      </c>
      <c r="O42" s="92">
        <f>'P合計'!O42+'B合計'!O42+'液化石油ガス'!O42</f>
        <v>93829436</v>
      </c>
      <c r="P42" s="93">
        <f>'P合計'!P42+'B合計'!P42+'液化石油ガス'!P42</f>
        <v>113594758</v>
      </c>
      <c r="Q42" s="143">
        <f>'P合計'!Q42+'B合計'!Q42+'液化石油ガス'!Q42</f>
        <v>500692042</v>
      </c>
      <c r="R42" s="147">
        <f>'P合計'!R42+'B合計'!R42+'液化石油ガス'!R42</f>
        <v>805645212</v>
      </c>
      <c r="S42" s="5"/>
    </row>
    <row r="43" spans="1:19" ht="12.75" customHeight="1" thickBot="1">
      <c r="A43" s="167"/>
      <c r="B43" s="16" t="s">
        <v>31</v>
      </c>
      <c r="C43" s="14" t="s">
        <v>6</v>
      </c>
      <c r="D43" s="7">
        <f aca="true" t="shared" si="12" ref="D43:R43">IF(D41=0,"",(D42/D41)*1000)</f>
        <v>46424.85504825174</v>
      </c>
      <c r="E43" s="38">
        <f t="shared" si="12"/>
        <v>47993.743384667454</v>
      </c>
      <c r="F43" s="38">
        <f t="shared" si="12"/>
        <v>48240.65922997507</v>
      </c>
      <c r="G43" s="144">
        <f>IF(G41=0,"",(G42/G41)*1000)</f>
        <v>47614.846614956</v>
      </c>
      <c r="H43" s="144">
        <f t="shared" si="12"/>
        <v>47573.11499175269</v>
      </c>
      <c r="I43" s="145">
        <f t="shared" si="12"/>
        <v>49431.3306251749</v>
      </c>
      <c r="J43" s="146">
        <f t="shared" si="12"/>
        <v>47916.78765549421</v>
      </c>
      <c r="K43" s="145">
        <f t="shared" si="12"/>
        <v>55551.03284780838</v>
      </c>
      <c r="L43" s="38">
        <f t="shared" si="12"/>
        <v>63257.60870703833</v>
      </c>
      <c r="M43" s="38">
        <f t="shared" si="12"/>
        <v>68669.3616928048</v>
      </c>
      <c r="N43" s="38">
        <f t="shared" si="12"/>
        <v>68030.56680408664</v>
      </c>
      <c r="O43" s="38">
        <f t="shared" si="12"/>
        <v>74748.82634157145</v>
      </c>
      <c r="P43" s="32">
        <f t="shared" si="12"/>
        <v>73043.86949750443</v>
      </c>
      <c r="Q43" s="146">
        <f t="shared" si="12"/>
        <v>68123.77607915382</v>
      </c>
      <c r="R43" s="148">
        <f t="shared" si="12"/>
        <v>58746.34146626022</v>
      </c>
      <c r="S43" s="5"/>
    </row>
    <row r="44" spans="1:19" s="46" customFormat="1" ht="17.25" customHeight="1" thickBot="1">
      <c r="A44" s="175" t="s">
        <v>24</v>
      </c>
      <c r="B44" s="176"/>
      <c r="C44" s="177"/>
      <c r="D44" s="69">
        <f>'P一般'!D44</f>
        <v>107.15</v>
      </c>
      <c r="E44" s="70">
        <f>'P一般'!E44</f>
        <v>106.02</v>
      </c>
      <c r="F44" s="70">
        <f>'P一般'!F44</f>
        <v>107.9</v>
      </c>
      <c r="G44" s="70">
        <f>'P一般'!G44</f>
        <v>110.6</v>
      </c>
      <c r="H44" s="70">
        <f>'P一般'!H44</f>
        <v>111.54</v>
      </c>
      <c r="I44" s="71">
        <f>'P一般'!I44</f>
        <v>110.21</v>
      </c>
      <c r="J44" s="72"/>
      <c r="K44" s="71">
        <f>'P一般'!K44</f>
        <v>113.34</v>
      </c>
      <c r="L44" s="70">
        <f>'P一般'!L44</f>
        <v>116.67</v>
      </c>
      <c r="M44" s="70">
        <f>'P一般'!M44</f>
        <v>119.52</v>
      </c>
      <c r="N44" s="70">
        <f>'P一般'!N44</f>
        <v>116.1</v>
      </c>
      <c r="O44" s="70">
        <f>'P一般'!O44</f>
        <v>116.92</v>
      </c>
      <c r="P44" s="71">
        <f>'P一般'!P44</f>
        <v>117.49</v>
      </c>
      <c r="Q44" s="72">
        <v>116.86264639448166</v>
      </c>
      <c r="R44" s="73">
        <v>113.05614996656949</v>
      </c>
      <c r="S44" s="45"/>
    </row>
    <row r="45" spans="1:19" ht="12.75">
      <c r="A45" s="178" t="s">
        <v>54</v>
      </c>
      <c r="B45" s="15" t="s">
        <v>27</v>
      </c>
      <c r="C45" s="13" t="s">
        <v>4</v>
      </c>
      <c r="D45" s="91">
        <f>'P合計'!D41</f>
        <v>752766</v>
      </c>
      <c r="E45" s="92">
        <f>'P合計'!E41</f>
        <v>874301</v>
      </c>
      <c r="F45" s="92">
        <f>'P合計'!F41</f>
        <v>888346</v>
      </c>
      <c r="G45" s="92">
        <f>'P合計'!G41</f>
        <v>696991</v>
      </c>
      <c r="H45" s="92">
        <f>'P合計'!H41</f>
        <v>661217</v>
      </c>
      <c r="I45" s="93">
        <f>'P合計'!I41</f>
        <v>736300</v>
      </c>
      <c r="J45" s="94">
        <f>SUM(D45:I45)</f>
        <v>4609921</v>
      </c>
      <c r="K45" s="93">
        <f>'P合計'!K41</f>
        <v>627970</v>
      </c>
      <c r="L45" s="92">
        <f>'P合計'!L41</f>
        <v>681367</v>
      </c>
      <c r="M45" s="92">
        <f>'P合計'!M41</f>
        <v>972413</v>
      </c>
      <c r="N45" s="92">
        <f>'P合計'!N41</f>
        <v>970417</v>
      </c>
      <c r="O45" s="92">
        <f>'P合計'!O41</f>
        <v>992703</v>
      </c>
      <c r="P45" s="93">
        <f>'P合計'!P41</f>
        <v>1092181</v>
      </c>
      <c r="Q45" s="94">
        <f>SUM(K45:P45)</f>
        <v>5337051</v>
      </c>
      <c r="R45" s="95">
        <f>J45+Q45</f>
        <v>9946972</v>
      </c>
      <c r="S45" s="5"/>
    </row>
    <row r="46" spans="1:19" ht="12.75">
      <c r="A46" s="149"/>
      <c r="B46" s="15" t="s">
        <v>29</v>
      </c>
      <c r="C46" s="13" t="s">
        <v>5</v>
      </c>
      <c r="D46" s="91">
        <f>'P合計'!D42</f>
        <v>34940774</v>
      </c>
      <c r="E46" s="92">
        <f>'P合計'!E42</f>
        <v>41926950</v>
      </c>
      <c r="F46" s="92">
        <f>'P合計'!F42</f>
        <v>42704999</v>
      </c>
      <c r="G46" s="92">
        <f>'P合計'!G42</f>
        <v>32945794</v>
      </c>
      <c r="H46" s="141">
        <f>'P合計'!H42</f>
        <v>31577445</v>
      </c>
      <c r="I46" s="142">
        <f>'P合計'!I42</f>
        <v>36019520</v>
      </c>
      <c r="J46" s="143">
        <f>SUM(D46:I46)</f>
        <v>220115482</v>
      </c>
      <c r="K46" s="142">
        <f>'P合計'!K42</f>
        <v>33906491</v>
      </c>
      <c r="L46" s="92">
        <f>'P合計'!L42</f>
        <v>42461970</v>
      </c>
      <c r="M46" s="92">
        <f>'P合計'!M42</f>
        <v>65745621</v>
      </c>
      <c r="N46" s="92">
        <f>'P合計'!N42</f>
        <v>65180502</v>
      </c>
      <c r="O46" s="92">
        <f>'P合計'!O42</f>
        <v>73519447</v>
      </c>
      <c r="P46" s="93">
        <f>'P合計'!P42</f>
        <v>79998337</v>
      </c>
      <c r="Q46" s="143">
        <f>SUM(K46:P46)</f>
        <v>360812368</v>
      </c>
      <c r="R46" s="147">
        <f>J46+Q46</f>
        <v>580927850</v>
      </c>
      <c r="S46" s="5"/>
    </row>
    <row r="47" spans="1:19" ht="13.5" thickBot="1">
      <c r="A47" s="174"/>
      <c r="B47" s="16" t="s">
        <v>31</v>
      </c>
      <c r="C47" s="14" t="s">
        <v>6</v>
      </c>
      <c r="D47" s="7">
        <f aca="true" t="shared" si="13" ref="D47:I47">IF(D46=0,"",(D46/D45)*1000)</f>
        <v>46416.51456096582</v>
      </c>
      <c r="E47" s="38">
        <f t="shared" si="13"/>
        <v>47954.823338873</v>
      </c>
      <c r="F47" s="38">
        <f t="shared" si="13"/>
        <v>48072.48414469137</v>
      </c>
      <c r="G47" s="38">
        <f t="shared" si="13"/>
        <v>47268.607485605986</v>
      </c>
      <c r="H47" s="144">
        <f t="shared" si="13"/>
        <v>47756.55344614552</v>
      </c>
      <c r="I47" s="145">
        <f t="shared" si="13"/>
        <v>48919.625152790984</v>
      </c>
      <c r="J47" s="146">
        <f aca="true" t="shared" si="14" ref="J47:R47">IF(J46=0,"",(J46/J45)*1000)</f>
        <v>47748.21130340411</v>
      </c>
      <c r="K47" s="145">
        <f t="shared" si="14"/>
        <v>53993.8070289982</v>
      </c>
      <c r="L47" s="38">
        <f t="shared" si="14"/>
        <v>62318.79442356322</v>
      </c>
      <c r="M47" s="38">
        <f t="shared" si="14"/>
        <v>67610.8001435604</v>
      </c>
      <c r="N47" s="38">
        <f t="shared" si="14"/>
        <v>67167.51870587592</v>
      </c>
      <c r="O47" s="38">
        <f t="shared" si="14"/>
        <v>74059.86181163954</v>
      </c>
      <c r="P47" s="32">
        <f t="shared" si="14"/>
        <v>73246.40970681599</v>
      </c>
      <c r="Q47" s="146">
        <f t="shared" si="14"/>
        <v>67605.19395448909</v>
      </c>
      <c r="R47" s="148">
        <f t="shared" si="14"/>
        <v>58402.48167985192</v>
      </c>
      <c r="S47" s="5"/>
    </row>
    <row r="48" spans="1:19" ht="12.75">
      <c r="A48" s="178" t="s">
        <v>55</v>
      </c>
      <c r="B48" s="15" t="s">
        <v>27</v>
      </c>
      <c r="C48" s="13" t="s">
        <v>4</v>
      </c>
      <c r="D48" s="91">
        <f>'B合計'!D41</f>
        <v>264762</v>
      </c>
      <c r="E48" s="92">
        <f>'B合計'!E41</f>
        <v>283964</v>
      </c>
      <c r="F48" s="92">
        <f>'B合計'!F41</f>
        <v>303034</v>
      </c>
      <c r="G48" s="92">
        <f>'B合計'!G41</f>
        <v>290426</v>
      </c>
      <c r="H48" s="92">
        <f>'B合計'!H41</f>
        <v>254831</v>
      </c>
      <c r="I48" s="93">
        <f>'B合計'!I41</f>
        <v>357186</v>
      </c>
      <c r="J48" s="94">
        <f>SUM(D48:I48)</f>
        <v>1754203</v>
      </c>
      <c r="K48" s="93">
        <f>'B合計'!K41</f>
        <v>320271</v>
      </c>
      <c r="L48" s="92">
        <f>'B合計'!L41</f>
        <v>273239</v>
      </c>
      <c r="M48" s="92">
        <f>'B合計'!M41</f>
        <v>351260</v>
      </c>
      <c r="N48" s="92">
        <f>'B合計'!N41</f>
        <v>342337</v>
      </c>
      <c r="O48" s="92">
        <f>'B合計'!O41</f>
        <v>262548</v>
      </c>
      <c r="P48" s="93">
        <f>'B合計'!P41</f>
        <v>462964</v>
      </c>
      <c r="Q48" s="94">
        <f>SUM(K48:P48)</f>
        <v>2012619</v>
      </c>
      <c r="R48" s="95">
        <f>J48+Q48</f>
        <v>3766822</v>
      </c>
      <c r="S48" s="5"/>
    </row>
    <row r="49" spans="1:19" ht="12.75">
      <c r="A49" s="149"/>
      <c r="B49" s="15" t="s">
        <v>29</v>
      </c>
      <c r="C49" s="13" t="s">
        <v>5</v>
      </c>
      <c r="D49" s="91">
        <f>'B合計'!D42</f>
        <v>12274912</v>
      </c>
      <c r="E49" s="92">
        <f>'B合計'!E42</f>
        <v>13652704</v>
      </c>
      <c r="F49" s="92">
        <f>'B合計'!F42</f>
        <v>14757366</v>
      </c>
      <c r="G49" s="141">
        <f>'B合計'!G42</f>
        <v>14068851</v>
      </c>
      <c r="H49" s="92">
        <f>'B合計'!H42</f>
        <v>11991302</v>
      </c>
      <c r="I49" s="93">
        <f>'B合計'!I42</f>
        <v>18030456</v>
      </c>
      <c r="J49" s="143">
        <f>SUM(D49:I49)</f>
        <v>84775591</v>
      </c>
      <c r="K49" s="93">
        <f>'B合計'!K42</f>
        <v>18756950</v>
      </c>
      <c r="L49" s="92">
        <f>'B合計'!L42</f>
        <v>17910257</v>
      </c>
      <c r="M49" s="92">
        <f>'B合計'!M42</f>
        <v>25144778</v>
      </c>
      <c r="N49" s="92">
        <f>'B合計'!N42</f>
        <v>24111242</v>
      </c>
      <c r="O49" s="92">
        <f>'B合計'!O42</f>
        <v>20296102</v>
      </c>
      <c r="P49" s="93">
        <f>'B合計'!P42</f>
        <v>33584531</v>
      </c>
      <c r="Q49" s="94">
        <f>SUM(K49:P49)</f>
        <v>139803860</v>
      </c>
      <c r="R49" s="147">
        <f>J49+Q49</f>
        <v>224579451</v>
      </c>
      <c r="S49" s="5"/>
    </row>
    <row r="50" spans="1:19" ht="13.5" thickBot="1">
      <c r="A50" s="174"/>
      <c r="B50" s="16" t="s">
        <v>31</v>
      </c>
      <c r="C50" s="14" t="s">
        <v>6</v>
      </c>
      <c r="D50" s="7">
        <f aca="true" t="shared" si="15" ref="D50:I50">IF(D49=0,"",(D49/D48)*1000)</f>
        <v>46362.06102084136</v>
      </c>
      <c r="E50" s="38">
        <f t="shared" si="15"/>
        <v>48078.99592906143</v>
      </c>
      <c r="F50" s="38">
        <f t="shared" si="15"/>
        <v>48698.71367569316</v>
      </c>
      <c r="G50" s="144">
        <f t="shared" si="15"/>
        <v>48442.119507206655</v>
      </c>
      <c r="H50" s="38">
        <f t="shared" si="15"/>
        <v>47055.89979241144</v>
      </c>
      <c r="I50" s="32">
        <f t="shared" si="15"/>
        <v>50479.17891518705</v>
      </c>
      <c r="J50" s="146">
        <f aca="true" t="shared" si="16" ref="J50:R50">IF(J49=0,"",(J49/J48)*1000)</f>
        <v>48327.12690606503</v>
      </c>
      <c r="K50" s="32">
        <f t="shared" si="16"/>
        <v>58565.870778184726</v>
      </c>
      <c r="L50" s="38">
        <f t="shared" si="16"/>
        <v>65547.95252507877</v>
      </c>
      <c r="M50" s="38">
        <f t="shared" si="16"/>
        <v>71584.51859021807</v>
      </c>
      <c r="N50" s="38">
        <f t="shared" si="16"/>
        <v>70431.30599380143</v>
      </c>
      <c r="O50" s="38">
        <f t="shared" si="16"/>
        <v>77304.34815728934</v>
      </c>
      <c r="P50" s="32">
        <f t="shared" si="16"/>
        <v>72542.4244649692</v>
      </c>
      <c r="Q50" s="29">
        <f t="shared" si="16"/>
        <v>69463.64910596592</v>
      </c>
      <c r="R50" s="148">
        <f t="shared" si="16"/>
        <v>59620.40441518076</v>
      </c>
      <c r="S50" s="5"/>
    </row>
    <row r="51" spans="1:18" ht="12.75">
      <c r="A51" s="173" t="s">
        <v>25</v>
      </c>
      <c r="B51" s="15" t="s">
        <v>27</v>
      </c>
      <c r="C51" s="13" t="s">
        <v>4</v>
      </c>
      <c r="D51" s="96">
        <f>'液化石油ガス'!D41</f>
        <v>52</v>
      </c>
      <c r="E51" s="97">
        <f>'液化石油ガス'!E41</f>
        <v>29</v>
      </c>
      <c r="F51" s="98">
        <f>'液化石油ガス'!F41</f>
        <v>10</v>
      </c>
      <c r="G51" s="97">
        <f>'液化石油ガス'!G41</f>
        <v>0</v>
      </c>
      <c r="H51" s="97">
        <f>'液化石油ガス'!H41</f>
        <v>9</v>
      </c>
      <c r="I51" s="99">
        <f>'液化石油ガス'!I41</f>
        <v>0</v>
      </c>
      <c r="J51" s="94">
        <f>SUM(D51:I51)</f>
        <v>100</v>
      </c>
      <c r="K51" s="99">
        <f>'液化石油ガス'!K41</f>
        <v>11</v>
      </c>
      <c r="L51" s="97">
        <f>'液化石油ガス'!L41</f>
        <v>24</v>
      </c>
      <c r="M51" s="98">
        <f>'液化石油ガス'!M41</f>
        <v>0</v>
      </c>
      <c r="N51" s="97">
        <f>'液化石油ガス'!N41</f>
        <v>10</v>
      </c>
      <c r="O51" s="97">
        <f>'液化石油ガス'!O41</f>
        <v>12</v>
      </c>
      <c r="P51" s="99">
        <f>'液化石油ガス'!P41</f>
        <v>13</v>
      </c>
      <c r="Q51" s="94">
        <f>SUM(K51:P51)</f>
        <v>70</v>
      </c>
      <c r="R51" s="100">
        <f>J51+Q51</f>
        <v>170</v>
      </c>
    </row>
    <row r="52" spans="1:18" ht="12.75">
      <c r="A52" s="149"/>
      <c r="B52" s="15" t="s">
        <v>29</v>
      </c>
      <c r="C52" s="13" t="s">
        <v>5</v>
      </c>
      <c r="D52" s="101">
        <f>'液化石油ガス'!D42</f>
        <v>25318</v>
      </c>
      <c r="E52" s="102">
        <f>'液化石油ガス'!E42</f>
        <v>11211</v>
      </c>
      <c r="F52" s="103">
        <f>'液化石油ガス'!F42</f>
        <v>11074</v>
      </c>
      <c r="G52" s="102">
        <f>'液化石油ガス'!G42</f>
        <v>1064</v>
      </c>
      <c r="H52" s="102">
        <f>'液化石油ガス'!H42</f>
        <v>10938</v>
      </c>
      <c r="I52" s="104">
        <f>'液化石油ガス'!I42</f>
        <v>2492</v>
      </c>
      <c r="J52" s="94">
        <f>SUM(D52:I52)</f>
        <v>62097</v>
      </c>
      <c r="K52" s="104">
        <f>'液化石油ガス'!K42</f>
        <v>12937</v>
      </c>
      <c r="L52" s="102">
        <f>'液化石油ガス'!L42</f>
        <v>15384</v>
      </c>
      <c r="M52" s="102">
        <f>'液化石油ガス'!M42</f>
        <v>5381</v>
      </c>
      <c r="N52" s="102">
        <f>'液化石油ガス'!N42</f>
        <v>16335</v>
      </c>
      <c r="O52" s="102">
        <f>'液化石油ガス'!O42</f>
        <v>13887</v>
      </c>
      <c r="P52" s="104">
        <f>'液化石油ガス'!P42</f>
        <v>11890</v>
      </c>
      <c r="Q52" s="94">
        <f>SUM(K52:P52)</f>
        <v>75814</v>
      </c>
      <c r="R52" s="95">
        <f>J52+Q52</f>
        <v>137911</v>
      </c>
    </row>
    <row r="53" spans="1:18" ht="12.75" customHeight="1" thickBot="1">
      <c r="A53" s="174"/>
      <c r="B53" s="16" t="s">
        <v>31</v>
      </c>
      <c r="C53" s="14" t="s">
        <v>6</v>
      </c>
      <c r="D53" s="7">
        <f aca="true" t="shared" si="17" ref="D53:R53">IF(D52=0,"",(D52/D51)*1000)</f>
        <v>486884.6153846154</v>
      </c>
      <c r="E53" s="38">
        <f>IF(E52=0,,(E52/E51)*1000)</f>
        <v>386586.20689655177</v>
      </c>
      <c r="F53" s="38">
        <f>IF(F52=0,,(F52/F51)*1000)</f>
        <v>1107400</v>
      </c>
      <c r="G53" s="38">
        <f>IF(G51=0,"",(G52/G51)*1000)</f>
      </c>
      <c r="H53" s="38">
        <f t="shared" si="17"/>
        <v>1215333.3333333333</v>
      </c>
      <c r="I53" s="32">
        <f>IF(I51=0,"",(I52/I51)*1000)</f>
      </c>
      <c r="J53" s="29">
        <f t="shared" si="17"/>
        <v>620970</v>
      </c>
      <c r="K53" s="32">
        <f t="shared" si="17"/>
        <v>1176090.909090909</v>
      </c>
      <c r="L53" s="38">
        <f t="shared" si="17"/>
        <v>641000</v>
      </c>
      <c r="M53" s="38">
        <f>IF(M51=0,"",(M52/M51)*1000)</f>
      </c>
      <c r="N53" s="38">
        <f t="shared" si="17"/>
        <v>1633500</v>
      </c>
      <c r="O53" s="38">
        <f>IF(O52=0,"",(O52/O51)*1000)</f>
        <v>1157250</v>
      </c>
      <c r="P53" s="32">
        <f t="shared" si="17"/>
        <v>914615.3846153846</v>
      </c>
      <c r="Q53" s="29">
        <f t="shared" si="17"/>
        <v>1083057.142857143</v>
      </c>
      <c r="R53" s="26">
        <f t="shared" si="17"/>
        <v>811241.1764705882</v>
      </c>
    </row>
    <row r="54" ht="15.75" customHeight="1">
      <c r="A54" s="113" t="s">
        <v>79</v>
      </c>
    </row>
  </sheetData>
  <mergeCells count="19">
    <mergeCell ref="Q3:R3"/>
    <mergeCell ref="A26:A28"/>
    <mergeCell ref="A51:A53"/>
    <mergeCell ref="A41:A43"/>
    <mergeCell ref="A44:C44"/>
    <mergeCell ref="A45:A47"/>
    <mergeCell ref="A48:A50"/>
    <mergeCell ref="A29:A31"/>
    <mergeCell ref="A32:A34"/>
    <mergeCell ref="A35:A37"/>
    <mergeCell ref="A38:A40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5" zoomScaleNormal="75" workbookViewId="0" topLeftCell="A2">
      <pane xSplit="3" ySplit="3" topLeftCell="D20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57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76</v>
      </c>
      <c r="B3" s="42" t="s">
        <v>77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4"/>
      <c r="R3" s="115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118"/>
      <c r="E5" s="119"/>
      <c r="F5" s="119"/>
      <c r="G5" s="119"/>
      <c r="H5" s="119"/>
      <c r="I5" s="120"/>
      <c r="J5" s="121"/>
      <c r="K5" s="120"/>
      <c r="L5" s="119"/>
      <c r="M5" s="119"/>
      <c r="N5" s="67"/>
      <c r="O5" s="67"/>
      <c r="P5" s="68"/>
      <c r="Q5" s="108">
        <f>SUM(N5:P5)</f>
        <v>0</v>
      </c>
      <c r="R5" s="109">
        <f>Q5</f>
        <v>0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118"/>
      <c r="E6" s="119"/>
      <c r="F6" s="119"/>
      <c r="G6" s="119"/>
      <c r="H6" s="119"/>
      <c r="I6" s="120"/>
      <c r="J6" s="121"/>
      <c r="K6" s="117"/>
      <c r="L6" s="116"/>
      <c r="M6" s="116"/>
      <c r="N6" s="106"/>
      <c r="O6" s="106"/>
      <c r="P6" s="107"/>
      <c r="Q6" s="108">
        <f>SUM(N6:P6)</f>
        <v>0</v>
      </c>
      <c r="R6" s="109">
        <f>Q6</f>
        <v>0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123">
        <f aca="true" t="shared" si="0" ref="D7:M7">IF(D5=0,,D6/D5*1000)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5">
        <f t="shared" si="0"/>
        <v>0</v>
      </c>
      <c r="J7" s="126">
        <f t="shared" si="0"/>
        <v>0</v>
      </c>
      <c r="K7" s="125">
        <f t="shared" si="0"/>
        <v>0</v>
      </c>
      <c r="L7" s="124">
        <f t="shared" si="0"/>
        <v>0</v>
      </c>
      <c r="M7" s="124">
        <f t="shared" si="0"/>
        <v>0</v>
      </c>
      <c r="N7" s="56">
        <f>IF(N5=0,,N6/N5*1000)</f>
        <v>0</v>
      </c>
      <c r="O7" s="56">
        <f>IF(O5=0,,O6/O5*1000)</f>
        <v>0</v>
      </c>
      <c r="P7" s="57">
        <f>IF(P5=0,,P6/P5*1000)</f>
        <v>0</v>
      </c>
      <c r="Q7" s="58">
        <f>IF(Q5=0,,Q6/Q5*1000)</f>
        <v>0</v>
      </c>
      <c r="R7" s="59">
        <f>IF(R5=0,,(R6/R5)*1000)</f>
        <v>0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22"/>
      <c r="E8" s="119"/>
      <c r="F8" s="119"/>
      <c r="G8" s="119"/>
      <c r="H8" s="119"/>
      <c r="I8" s="120"/>
      <c r="J8" s="121"/>
      <c r="K8" s="120"/>
      <c r="L8" s="119"/>
      <c r="M8" s="119"/>
      <c r="N8" s="67"/>
      <c r="O8" s="67"/>
      <c r="P8" s="68"/>
      <c r="Q8" s="108">
        <f>SUM(N8:P8)</f>
        <v>0</v>
      </c>
      <c r="R8" s="109">
        <f>Q8</f>
        <v>0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22"/>
      <c r="E9" s="119"/>
      <c r="F9" s="119"/>
      <c r="G9" s="119"/>
      <c r="H9" s="119"/>
      <c r="I9" s="120"/>
      <c r="J9" s="121"/>
      <c r="K9" s="117"/>
      <c r="L9" s="116"/>
      <c r="M9" s="116"/>
      <c r="N9" s="106"/>
      <c r="O9" s="106"/>
      <c r="P9" s="107"/>
      <c r="Q9" s="108">
        <f>SUM(N9:P9)</f>
        <v>0</v>
      </c>
      <c r="R9" s="109">
        <f>Q9</f>
        <v>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123">
        <f aca="true" t="shared" si="1" ref="D10:Q10">IF(D8=0,,D9/D8*1000)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5">
        <f t="shared" si="1"/>
        <v>0</v>
      </c>
      <c r="J10" s="126">
        <f t="shared" si="1"/>
        <v>0</v>
      </c>
      <c r="K10" s="125">
        <f t="shared" si="1"/>
        <v>0</v>
      </c>
      <c r="L10" s="124">
        <f t="shared" si="1"/>
        <v>0</v>
      </c>
      <c r="M10" s="124">
        <f t="shared" si="1"/>
        <v>0</v>
      </c>
      <c r="N10" s="56">
        <f t="shared" si="1"/>
        <v>0</v>
      </c>
      <c r="O10" s="56">
        <f t="shared" si="1"/>
        <v>0</v>
      </c>
      <c r="P10" s="57">
        <f t="shared" si="1"/>
        <v>0</v>
      </c>
      <c r="Q10" s="58">
        <f t="shared" si="1"/>
        <v>0</v>
      </c>
      <c r="R10" s="59">
        <f>IF(R8=0,,(R9/R8)*1000)</f>
        <v>0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118"/>
      <c r="E11" s="119"/>
      <c r="F11" s="119"/>
      <c r="G11" s="119"/>
      <c r="H11" s="119"/>
      <c r="I11" s="120"/>
      <c r="J11" s="121"/>
      <c r="K11" s="120"/>
      <c r="L11" s="119"/>
      <c r="M11" s="119"/>
      <c r="N11" s="67"/>
      <c r="O11" s="67"/>
      <c r="P11" s="68"/>
      <c r="Q11" s="108">
        <f>SUM(N11:P11)</f>
        <v>0</v>
      </c>
      <c r="R11" s="109">
        <f>Q11</f>
        <v>0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118"/>
      <c r="E12" s="116"/>
      <c r="F12" s="116"/>
      <c r="G12" s="116"/>
      <c r="H12" s="116"/>
      <c r="I12" s="120"/>
      <c r="J12" s="121"/>
      <c r="K12" s="117"/>
      <c r="L12" s="116"/>
      <c r="M12" s="116"/>
      <c r="N12" s="106"/>
      <c r="O12" s="106"/>
      <c r="P12" s="107"/>
      <c r="Q12" s="108">
        <f>SUM(N12:P12)</f>
        <v>0</v>
      </c>
      <c r="R12" s="109">
        <f>Q12</f>
        <v>0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123">
        <f aca="true" t="shared" si="2" ref="D13:Q13">IF(D11=0,,D12/D11*1000)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5">
        <f t="shared" si="2"/>
        <v>0</v>
      </c>
      <c r="J13" s="126">
        <f t="shared" si="2"/>
        <v>0</v>
      </c>
      <c r="K13" s="125">
        <f t="shared" si="2"/>
        <v>0</v>
      </c>
      <c r="L13" s="124">
        <f t="shared" si="2"/>
        <v>0</v>
      </c>
      <c r="M13" s="124">
        <f t="shared" si="2"/>
        <v>0</v>
      </c>
      <c r="N13" s="56">
        <f t="shared" si="2"/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59">
        <f>IF(R11=0,,(R12/R11)*1000)</f>
        <v>0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118"/>
      <c r="E14" s="119"/>
      <c r="F14" s="119"/>
      <c r="G14" s="119"/>
      <c r="H14" s="119"/>
      <c r="I14" s="120"/>
      <c r="J14" s="121"/>
      <c r="K14" s="120"/>
      <c r="L14" s="119"/>
      <c r="M14" s="119"/>
      <c r="N14" s="67"/>
      <c r="O14" s="67"/>
      <c r="P14" s="68"/>
      <c r="Q14" s="108">
        <f>SUM(N14:P14)</f>
        <v>0</v>
      </c>
      <c r="R14" s="109">
        <f>Q14</f>
        <v>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118"/>
      <c r="E15" s="116"/>
      <c r="F15" s="119"/>
      <c r="G15" s="116"/>
      <c r="H15" s="116"/>
      <c r="I15" s="117"/>
      <c r="J15" s="121"/>
      <c r="K15" s="117"/>
      <c r="L15" s="116"/>
      <c r="M15" s="116"/>
      <c r="N15" s="106"/>
      <c r="O15" s="106"/>
      <c r="P15" s="107"/>
      <c r="Q15" s="108">
        <f>SUM(N15:P15)</f>
        <v>0</v>
      </c>
      <c r="R15" s="109">
        <f>Q15</f>
        <v>0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123">
        <f aca="true" t="shared" si="3" ref="D16:Q16">IF(D14=0,,D15/D14*1000)</f>
        <v>0</v>
      </c>
      <c r="E16" s="124">
        <f t="shared" si="3"/>
        <v>0</v>
      </c>
      <c r="F16" s="124">
        <f t="shared" si="3"/>
        <v>0</v>
      </c>
      <c r="G16" s="124">
        <f t="shared" si="3"/>
        <v>0</v>
      </c>
      <c r="H16" s="124">
        <f t="shared" si="3"/>
        <v>0</v>
      </c>
      <c r="I16" s="125">
        <f t="shared" si="3"/>
        <v>0</v>
      </c>
      <c r="J16" s="126">
        <f t="shared" si="3"/>
        <v>0</v>
      </c>
      <c r="K16" s="125">
        <f t="shared" si="3"/>
        <v>0</v>
      </c>
      <c r="L16" s="124">
        <f t="shared" si="3"/>
        <v>0</v>
      </c>
      <c r="M16" s="124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 t="shared" si="3"/>
        <v>0</v>
      </c>
      <c r="R16" s="59">
        <f>IF(R14=0,,(R15/R14)*1000)</f>
        <v>0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118"/>
      <c r="E17" s="119"/>
      <c r="F17" s="119"/>
      <c r="G17" s="119"/>
      <c r="H17" s="119"/>
      <c r="I17" s="120"/>
      <c r="J17" s="121"/>
      <c r="K17" s="120"/>
      <c r="L17" s="119"/>
      <c r="M17" s="119"/>
      <c r="N17" s="67"/>
      <c r="O17" s="67"/>
      <c r="P17" s="68"/>
      <c r="Q17" s="108">
        <f>SUM(N17:P17)</f>
        <v>0</v>
      </c>
      <c r="R17" s="109">
        <f>Q17</f>
        <v>0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118"/>
      <c r="E18" s="119"/>
      <c r="F18" s="119"/>
      <c r="G18" s="119"/>
      <c r="H18" s="119"/>
      <c r="I18" s="120"/>
      <c r="J18" s="121"/>
      <c r="K18" s="117"/>
      <c r="L18" s="116"/>
      <c r="M18" s="116"/>
      <c r="N18" s="106"/>
      <c r="O18" s="106"/>
      <c r="P18" s="107"/>
      <c r="Q18" s="108">
        <f>SUM(N18:P18)</f>
        <v>0</v>
      </c>
      <c r="R18" s="109">
        <f>Q18</f>
        <v>0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123">
        <f aca="true" t="shared" si="4" ref="D19:Q19">IF(D17=0,,D18/D17*1000)</f>
        <v>0</v>
      </c>
      <c r="E19" s="124">
        <f t="shared" si="4"/>
        <v>0</v>
      </c>
      <c r="F19" s="124">
        <f t="shared" si="4"/>
        <v>0</v>
      </c>
      <c r="G19" s="124">
        <f t="shared" si="4"/>
        <v>0</v>
      </c>
      <c r="H19" s="124">
        <f t="shared" si="4"/>
        <v>0</v>
      </c>
      <c r="I19" s="125">
        <f t="shared" si="4"/>
        <v>0</v>
      </c>
      <c r="J19" s="126">
        <f t="shared" si="4"/>
        <v>0</v>
      </c>
      <c r="K19" s="125">
        <f t="shared" si="4"/>
        <v>0</v>
      </c>
      <c r="L19" s="124">
        <f t="shared" si="4"/>
        <v>0</v>
      </c>
      <c r="M19" s="124">
        <f t="shared" si="4"/>
        <v>0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 t="shared" si="4"/>
        <v>0</v>
      </c>
      <c r="R19" s="59">
        <f>IF(R17=0,,(R18/R17)*1000)</f>
        <v>0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118"/>
      <c r="E20" s="119"/>
      <c r="F20" s="119"/>
      <c r="G20" s="119"/>
      <c r="H20" s="119"/>
      <c r="I20" s="120"/>
      <c r="J20" s="121"/>
      <c r="K20" s="120"/>
      <c r="L20" s="119"/>
      <c r="M20" s="119"/>
      <c r="N20" s="67"/>
      <c r="O20" s="67"/>
      <c r="P20" s="68"/>
      <c r="Q20" s="108">
        <f>SUM(N20:P20)</f>
        <v>0</v>
      </c>
      <c r="R20" s="109">
        <f>Q20</f>
        <v>0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118"/>
      <c r="E21" s="119"/>
      <c r="F21" s="119"/>
      <c r="G21" s="119"/>
      <c r="H21" s="119"/>
      <c r="I21" s="120"/>
      <c r="J21" s="121"/>
      <c r="K21" s="117"/>
      <c r="L21" s="116"/>
      <c r="M21" s="116"/>
      <c r="N21" s="106"/>
      <c r="O21" s="106"/>
      <c r="P21" s="107"/>
      <c r="Q21" s="108">
        <f>SUM(N21:P21)</f>
        <v>0</v>
      </c>
      <c r="R21" s="109">
        <f>Q21</f>
        <v>0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123">
        <f aca="true" t="shared" si="5" ref="D22:Q22">IF(D20=0,,D21/D20*1000)</f>
        <v>0</v>
      </c>
      <c r="E22" s="124">
        <f t="shared" si="5"/>
        <v>0</v>
      </c>
      <c r="F22" s="124">
        <f t="shared" si="5"/>
        <v>0</v>
      </c>
      <c r="G22" s="124">
        <f t="shared" si="5"/>
        <v>0</v>
      </c>
      <c r="H22" s="124">
        <f t="shared" si="5"/>
        <v>0</v>
      </c>
      <c r="I22" s="125">
        <f t="shared" si="5"/>
        <v>0</v>
      </c>
      <c r="J22" s="126">
        <f t="shared" si="5"/>
        <v>0</v>
      </c>
      <c r="K22" s="125">
        <f t="shared" si="5"/>
        <v>0</v>
      </c>
      <c r="L22" s="124">
        <f t="shared" si="5"/>
        <v>0</v>
      </c>
      <c r="M22" s="124">
        <f t="shared" si="5"/>
        <v>0</v>
      </c>
      <c r="N22" s="56">
        <f t="shared" si="5"/>
        <v>0</v>
      </c>
      <c r="O22" s="56">
        <f t="shared" si="5"/>
        <v>0</v>
      </c>
      <c r="P22" s="57">
        <f t="shared" si="5"/>
        <v>0</v>
      </c>
      <c r="Q22" s="58">
        <f t="shared" si="5"/>
        <v>0</v>
      </c>
      <c r="R22" s="59">
        <f>IF(R20=0,,(R21/R20)*1000)</f>
        <v>0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118"/>
      <c r="E23" s="119"/>
      <c r="F23" s="119"/>
      <c r="G23" s="119"/>
      <c r="H23" s="119"/>
      <c r="I23" s="120"/>
      <c r="J23" s="121"/>
      <c r="K23" s="120"/>
      <c r="L23" s="119"/>
      <c r="M23" s="119"/>
      <c r="N23" s="67"/>
      <c r="O23" s="67"/>
      <c r="P23" s="68"/>
      <c r="Q23" s="108">
        <f>SUM(N23:P23)</f>
        <v>0</v>
      </c>
      <c r="R23" s="109">
        <f>Q23</f>
        <v>0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118"/>
      <c r="E24" s="119"/>
      <c r="F24" s="119"/>
      <c r="G24" s="119"/>
      <c r="H24" s="119"/>
      <c r="I24" s="120"/>
      <c r="J24" s="121"/>
      <c r="K24" s="117"/>
      <c r="L24" s="116"/>
      <c r="M24" s="116"/>
      <c r="N24" s="106"/>
      <c r="O24" s="106"/>
      <c r="P24" s="107"/>
      <c r="Q24" s="108">
        <f>SUM(N24:P24)</f>
        <v>0</v>
      </c>
      <c r="R24" s="109">
        <f>Q24</f>
        <v>0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123">
        <f aca="true" t="shared" si="6" ref="D25:Q25">IF(D23=0,,D24/D23*1000)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5">
        <f t="shared" si="6"/>
        <v>0</v>
      </c>
      <c r="J25" s="126">
        <f t="shared" si="6"/>
        <v>0</v>
      </c>
      <c r="K25" s="125">
        <f t="shared" si="6"/>
        <v>0</v>
      </c>
      <c r="L25" s="124">
        <f t="shared" si="6"/>
        <v>0</v>
      </c>
      <c r="M25" s="124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 t="shared" si="6"/>
        <v>0</v>
      </c>
      <c r="R25" s="59">
        <f>IF(R23=0,,(R24/R23)*1000)</f>
        <v>0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118"/>
      <c r="E26" s="119"/>
      <c r="F26" s="119"/>
      <c r="G26" s="119"/>
      <c r="H26" s="119"/>
      <c r="I26" s="120"/>
      <c r="J26" s="121"/>
      <c r="K26" s="120"/>
      <c r="L26" s="119"/>
      <c r="M26" s="119"/>
      <c r="N26" s="67"/>
      <c r="O26" s="67"/>
      <c r="P26" s="68"/>
      <c r="Q26" s="108">
        <f>SUM(N26:P26)</f>
        <v>0</v>
      </c>
      <c r="R26" s="109">
        <f>Q26</f>
        <v>0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118"/>
      <c r="E27" s="119"/>
      <c r="F27" s="119"/>
      <c r="G27" s="119"/>
      <c r="H27" s="119"/>
      <c r="I27" s="120"/>
      <c r="J27" s="121"/>
      <c r="K27" s="117"/>
      <c r="L27" s="116"/>
      <c r="M27" s="116"/>
      <c r="N27" s="106"/>
      <c r="O27" s="106"/>
      <c r="P27" s="107"/>
      <c r="Q27" s="108">
        <f>SUM(N27:P27)</f>
        <v>0</v>
      </c>
      <c r="R27" s="109">
        <f>Q27</f>
        <v>0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123">
        <f aca="true" t="shared" si="7" ref="D28:Q28">IF(D26=0,,D27/D26*1000)</f>
        <v>0</v>
      </c>
      <c r="E28" s="124">
        <f t="shared" si="7"/>
        <v>0</v>
      </c>
      <c r="F28" s="124">
        <f t="shared" si="7"/>
        <v>0</v>
      </c>
      <c r="G28" s="124">
        <f t="shared" si="7"/>
        <v>0</v>
      </c>
      <c r="H28" s="124">
        <f t="shared" si="7"/>
        <v>0</v>
      </c>
      <c r="I28" s="125">
        <f t="shared" si="7"/>
        <v>0</v>
      </c>
      <c r="J28" s="126">
        <f t="shared" si="7"/>
        <v>0</v>
      </c>
      <c r="K28" s="125">
        <f t="shared" si="7"/>
        <v>0</v>
      </c>
      <c r="L28" s="124">
        <f t="shared" si="7"/>
        <v>0</v>
      </c>
      <c r="M28" s="124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 t="shared" si="7"/>
        <v>0</v>
      </c>
      <c r="R28" s="59">
        <f>IF(R26=0,,(R27/R26)*1000)</f>
        <v>0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118"/>
      <c r="E29" s="119"/>
      <c r="F29" s="119"/>
      <c r="G29" s="119"/>
      <c r="H29" s="119"/>
      <c r="I29" s="120"/>
      <c r="J29" s="121"/>
      <c r="K29" s="120"/>
      <c r="L29" s="119"/>
      <c r="M29" s="119"/>
      <c r="N29" s="67"/>
      <c r="O29" s="67"/>
      <c r="P29" s="68"/>
      <c r="Q29" s="108">
        <f>SUM(N29:P29)</f>
        <v>0</v>
      </c>
      <c r="R29" s="109">
        <f>Q29</f>
        <v>0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118"/>
      <c r="E30" s="119"/>
      <c r="F30" s="116"/>
      <c r="G30" s="119"/>
      <c r="H30" s="116"/>
      <c r="I30" s="117"/>
      <c r="J30" s="121"/>
      <c r="K30" s="117"/>
      <c r="L30" s="116"/>
      <c r="M30" s="116"/>
      <c r="N30" s="106"/>
      <c r="O30" s="106"/>
      <c r="P30" s="107"/>
      <c r="Q30" s="108">
        <f>SUM(N30:P30)</f>
        <v>0</v>
      </c>
      <c r="R30" s="109">
        <f>Q30</f>
        <v>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123">
        <f aca="true" t="shared" si="8" ref="D31:Q31">IF(D29=0,,D30/D29*1000)</f>
        <v>0</v>
      </c>
      <c r="E31" s="124">
        <f t="shared" si="8"/>
        <v>0</v>
      </c>
      <c r="F31" s="124">
        <f t="shared" si="8"/>
        <v>0</v>
      </c>
      <c r="G31" s="124">
        <f t="shared" si="8"/>
        <v>0</v>
      </c>
      <c r="H31" s="124">
        <f t="shared" si="8"/>
        <v>0</v>
      </c>
      <c r="I31" s="125">
        <f t="shared" si="8"/>
        <v>0</v>
      </c>
      <c r="J31" s="126">
        <f t="shared" si="8"/>
        <v>0</v>
      </c>
      <c r="K31" s="125">
        <f t="shared" si="8"/>
        <v>0</v>
      </c>
      <c r="L31" s="124">
        <f t="shared" si="8"/>
        <v>0</v>
      </c>
      <c r="M31" s="124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 t="shared" si="8"/>
        <v>0</v>
      </c>
      <c r="R31" s="59">
        <f>IF(R29=0,,(R30/R29)*1000)</f>
        <v>0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118"/>
      <c r="E32" s="119"/>
      <c r="F32" s="119"/>
      <c r="G32" s="119"/>
      <c r="H32" s="119"/>
      <c r="I32" s="120"/>
      <c r="J32" s="121"/>
      <c r="K32" s="120"/>
      <c r="L32" s="119"/>
      <c r="M32" s="119"/>
      <c r="N32" s="67"/>
      <c r="O32" s="67"/>
      <c r="P32" s="68"/>
      <c r="Q32" s="108">
        <f>SUM(N32:P32)</f>
        <v>0</v>
      </c>
      <c r="R32" s="109">
        <f>Q32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118"/>
      <c r="E33" s="116"/>
      <c r="F33" s="116"/>
      <c r="G33" s="116"/>
      <c r="H33" s="116"/>
      <c r="I33" s="117"/>
      <c r="J33" s="121"/>
      <c r="K33" s="117"/>
      <c r="L33" s="116"/>
      <c r="M33" s="116"/>
      <c r="N33" s="106"/>
      <c r="O33" s="106"/>
      <c r="P33" s="107"/>
      <c r="Q33" s="108">
        <f>SUM(N33:P33)</f>
        <v>0</v>
      </c>
      <c r="R33" s="109">
        <f>Q33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123">
        <f aca="true" t="shared" si="9" ref="D34:Q34">IF(D32=0,,D33/D32*1000)</f>
        <v>0</v>
      </c>
      <c r="E34" s="124">
        <f t="shared" si="9"/>
        <v>0</v>
      </c>
      <c r="F34" s="124">
        <f t="shared" si="9"/>
        <v>0</v>
      </c>
      <c r="G34" s="124">
        <f t="shared" si="9"/>
        <v>0</v>
      </c>
      <c r="H34" s="124">
        <f t="shared" si="9"/>
        <v>0</v>
      </c>
      <c r="I34" s="125">
        <f t="shared" si="9"/>
        <v>0</v>
      </c>
      <c r="J34" s="126">
        <f t="shared" si="9"/>
        <v>0</v>
      </c>
      <c r="K34" s="125">
        <f t="shared" si="9"/>
        <v>0</v>
      </c>
      <c r="L34" s="124">
        <f t="shared" si="9"/>
        <v>0</v>
      </c>
      <c r="M34" s="124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 t="shared" si="9"/>
        <v>0</v>
      </c>
      <c r="R34" s="59">
        <f>IF(R32=0,,(R33/R32)*1000)</f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118"/>
      <c r="E35" s="119"/>
      <c r="F35" s="119"/>
      <c r="G35" s="119"/>
      <c r="H35" s="119"/>
      <c r="I35" s="120"/>
      <c r="J35" s="121"/>
      <c r="K35" s="120"/>
      <c r="L35" s="119"/>
      <c r="M35" s="119"/>
      <c r="N35" s="67"/>
      <c r="O35" s="67"/>
      <c r="P35" s="68"/>
      <c r="Q35" s="108">
        <f>SUM(N35:P35)</f>
        <v>0</v>
      </c>
      <c r="R35" s="109">
        <f>Q35</f>
        <v>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118"/>
      <c r="E36" s="119"/>
      <c r="F36" s="116"/>
      <c r="G36" s="119"/>
      <c r="H36" s="116"/>
      <c r="I36" s="120"/>
      <c r="J36" s="121"/>
      <c r="K36" s="117"/>
      <c r="L36" s="116"/>
      <c r="M36" s="116"/>
      <c r="N36" s="106"/>
      <c r="O36" s="106"/>
      <c r="P36" s="107"/>
      <c r="Q36" s="108">
        <f>SUM(N36:P36)</f>
        <v>0</v>
      </c>
      <c r="R36" s="109">
        <f>Q36</f>
        <v>0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123">
        <f aca="true" t="shared" si="10" ref="D37:Q37">IF(D35=0,,D36/D35*1000)</f>
        <v>0</v>
      </c>
      <c r="E37" s="124">
        <f t="shared" si="10"/>
        <v>0</v>
      </c>
      <c r="F37" s="124">
        <f t="shared" si="10"/>
        <v>0</v>
      </c>
      <c r="G37" s="124">
        <f t="shared" si="10"/>
        <v>0</v>
      </c>
      <c r="H37" s="124">
        <f t="shared" si="10"/>
        <v>0</v>
      </c>
      <c r="I37" s="125">
        <f t="shared" si="10"/>
        <v>0</v>
      </c>
      <c r="J37" s="126">
        <f t="shared" si="10"/>
        <v>0</v>
      </c>
      <c r="K37" s="125">
        <f t="shared" si="10"/>
        <v>0</v>
      </c>
      <c r="L37" s="124">
        <f t="shared" si="10"/>
        <v>0</v>
      </c>
      <c r="M37" s="124">
        <f t="shared" si="10"/>
        <v>0</v>
      </c>
      <c r="N37" s="56">
        <f t="shared" si="10"/>
        <v>0</v>
      </c>
      <c r="O37" s="56">
        <f t="shared" si="10"/>
        <v>0</v>
      </c>
      <c r="P37" s="57">
        <f t="shared" si="10"/>
        <v>0</v>
      </c>
      <c r="Q37" s="58">
        <f t="shared" si="10"/>
        <v>0</v>
      </c>
      <c r="R37" s="59">
        <f>IF(R35=0,,(R36/R35)*1000)</f>
        <v>0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118"/>
      <c r="E38" s="119"/>
      <c r="F38" s="119"/>
      <c r="G38" s="119"/>
      <c r="H38" s="119"/>
      <c r="I38" s="120"/>
      <c r="J38" s="121"/>
      <c r="K38" s="120"/>
      <c r="L38" s="119"/>
      <c r="M38" s="119"/>
      <c r="N38" s="67"/>
      <c r="O38" s="67"/>
      <c r="P38" s="68"/>
      <c r="Q38" s="108">
        <f>SUM(N38:P38)</f>
        <v>0</v>
      </c>
      <c r="R38" s="109">
        <f>Q38</f>
        <v>0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118"/>
      <c r="E39" s="116"/>
      <c r="F39" s="116"/>
      <c r="G39" s="116"/>
      <c r="H39" s="116"/>
      <c r="I39" s="117"/>
      <c r="J39" s="121"/>
      <c r="K39" s="117"/>
      <c r="L39" s="116"/>
      <c r="M39" s="116"/>
      <c r="N39" s="106"/>
      <c r="O39" s="106"/>
      <c r="P39" s="107"/>
      <c r="Q39" s="108">
        <f>SUM(N39:P39)</f>
        <v>0</v>
      </c>
      <c r="R39" s="109">
        <f>Q39</f>
        <v>0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123">
        <f aca="true" t="shared" si="11" ref="D40:Q40">IF(D38=0,,D39/D38*1000)</f>
        <v>0</v>
      </c>
      <c r="E40" s="124">
        <f t="shared" si="11"/>
        <v>0</v>
      </c>
      <c r="F40" s="124">
        <f t="shared" si="11"/>
        <v>0</v>
      </c>
      <c r="G40" s="124">
        <f t="shared" si="11"/>
        <v>0</v>
      </c>
      <c r="H40" s="124">
        <f t="shared" si="11"/>
        <v>0</v>
      </c>
      <c r="I40" s="125">
        <f t="shared" si="11"/>
        <v>0</v>
      </c>
      <c r="J40" s="126">
        <f t="shared" si="11"/>
        <v>0</v>
      </c>
      <c r="K40" s="125">
        <f t="shared" si="11"/>
        <v>0</v>
      </c>
      <c r="L40" s="124">
        <f t="shared" si="11"/>
        <v>0</v>
      </c>
      <c r="M40" s="124">
        <f t="shared" si="11"/>
        <v>0</v>
      </c>
      <c r="N40" s="56">
        <f t="shared" si="11"/>
        <v>0</v>
      </c>
      <c r="O40" s="56">
        <f t="shared" si="11"/>
        <v>0</v>
      </c>
      <c r="P40" s="57">
        <f t="shared" si="11"/>
        <v>0</v>
      </c>
      <c r="Q40" s="58">
        <f t="shared" si="11"/>
        <v>0</v>
      </c>
      <c r="R40" s="59">
        <f>IF(R38=0,,(R39/R38)*1000)</f>
        <v>0</v>
      </c>
      <c r="S40" s="6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49"/>
      <c r="E41" s="50"/>
      <c r="F41" s="50"/>
      <c r="G41" s="50"/>
      <c r="H41" s="50"/>
      <c r="I41" s="51"/>
      <c r="J41" s="52"/>
      <c r="K41" s="51"/>
      <c r="L41" s="50"/>
      <c r="M41" s="50"/>
      <c r="N41" s="106">
        <f aca="true" t="shared" si="12" ref="N41:P42">N5+N8+N11+N14+N17+N20+N23+N26+N29+N32+N35+N38</f>
        <v>0</v>
      </c>
      <c r="O41" s="106">
        <f t="shared" si="12"/>
        <v>0</v>
      </c>
      <c r="P41" s="107">
        <f t="shared" si="12"/>
        <v>0</v>
      </c>
      <c r="Q41" s="108">
        <f>SUM(N41:P41)</f>
        <v>0</v>
      </c>
      <c r="R41" s="109">
        <f>Q41</f>
        <v>0</v>
      </c>
      <c r="S41" s="54"/>
    </row>
    <row r="42" spans="1:19" s="46" customFormat="1" ht="18" customHeight="1">
      <c r="A42" s="153"/>
      <c r="B42" s="47" t="s">
        <v>28</v>
      </c>
      <c r="C42" s="48" t="s">
        <v>5</v>
      </c>
      <c r="D42" s="49"/>
      <c r="E42" s="50"/>
      <c r="F42" s="50"/>
      <c r="G42" s="50"/>
      <c r="H42" s="50"/>
      <c r="I42" s="51"/>
      <c r="J42" s="52"/>
      <c r="K42" s="51"/>
      <c r="L42" s="50"/>
      <c r="M42" s="50"/>
      <c r="N42" s="106">
        <f t="shared" si="12"/>
        <v>0</v>
      </c>
      <c r="O42" s="106">
        <f t="shared" si="12"/>
        <v>0</v>
      </c>
      <c r="P42" s="107">
        <f t="shared" si="12"/>
        <v>0</v>
      </c>
      <c r="Q42" s="108">
        <f>SUM(N42:P42)</f>
        <v>0</v>
      </c>
      <c r="R42" s="109">
        <f>Q42</f>
        <v>0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123">
        <f aca="true" t="shared" si="13" ref="D43:Q43">IF(D41=0,,D42/D41*1000)</f>
        <v>0</v>
      </c>
      <c r="E43" s="124">
        <f t="shared" si="13"/>
        <v>0</v>
      </c>
      <c r="F43" s="124">
        <f t="shared" si="13"/>
        <v>0</v>
      </c>
      <c r="G43" s="124">
        <f t="shared" si="13"/>
        <v>0</v>
      </c>
      <c r="H43" s="124">
        <f t="shared" si="13"/>
        <v>0</v>
      </c>
      <c r="I43" s="125">
        <f t="shared" si="13"/>
        <v>0</v>
      </c>
      <c r="J43" s="126">
        <f t="shared" si="13"/>
        <v>0</v>
      </c>
      <c r="K43" s="125">
        <f t="shared" si="13"/>
        <v>0</v>
      </c>
      <c r="L43" s="124">
        <f t="shared" si="13"/>
        <v>0</v>
      </c>
      <c r="M43" s="124">
        <f t="shared" si="13"/>
        <v>0</v>
      </c>
      <c r="N43" s="56">
        <f t="shared" si="13"/>
        <v>0</v>
      </c>
      <c r="O43" s="56">
        <f t="shared" si="13"/>
        <v>0</v>
      </c>
      <c r="P43" s="57">
        <f t="shared" si="13"/>
        <v>0</v>
      </c>
      <c r="Q43" s="58">
        <f t="shared" si="13"/>
        <v>0</v>
      </c>
      <c r="R43" s="59">
        <f>IF(R41=0,,(R42/R41)*1000)</f>
        <v>0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85">
        <v>107.15</v>
      </c>
      <c r="E44" s="86">
        <v>106.02</v>
      </c>
      <c r="F44" s="127">
        <v>107.9</v>
      </c>
      <c r="G44" s="87">
        <v>110.6</v>
      </c>
      <c r="H44" s="90">
        <v>111.54</v>
      </c>
      <c r="I44" s="61">
        <v>110.21</v>
      </c>
      <c r="J44" s="62"/>
      <c r="K44" s="63">
        <v>113.34</v>
      </c>
      <c r="L44" s="112">
        <v>116.67</v>
      </c>
      <c r="M44" s="64">
        <v>119.52</v>
      </c>
      <c r="N44" s="64">
        <v>116.1</v>
      </c>
      <c r="O44" s="87">
        <v>116.92</v>
      </c>
      <c r="P44" s="88"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workbookViewId="0" topLeftCell="A1">
      <pane xSplit="3" ySplit="4" topLeftCell="D17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7" t="s">
        <v>72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105">
        <f>'P一般'!D5+'P原料'!D5</f>
        <v>306791</v>
      </c>
      <c r="E5" s="106">
        <f>'P一般'!E5+'P原料'!E5</f>
        <v>336872</v>
      </c>
      <c r="F5" s="106">
        <f>'P一般'!F5+'P原料'!F5</f>
        <v>447876</v>
      </c>
      <c r="G5" s="106">
        <f>'P一般'!G5+'P原料'!G5</f>
        <v>386729</v>
      </c>
      <c r="H5" s="106">
        <f>'P一般'!H5+'P原料'!H5</f>
        <v>284388</v>
      </c>
      <c r="I5" s="106">
        <f>'P一般'!I5+'P原料'!I5</f>
        <v>303121</v>
      </c>
      <c r="J5" s="108">
        <f>SUM(D5:I5)</f>
        <v>2065777</v>
      </c>
      <c r="K5" s="105">
        <f>'P一般'!K5+'P原料'!K5</f>
        <v>320114</v>
      </c>
      <c r="L5" s="106">
        <f>'P一般'!L5+'P原料'!L5</f>
        <v>288481</v>
      </c>
      <c r="M5" s="106">
        <f>'P一般'!M5+'P原料'!M5</f>
        <v>401312</v>
      </c>
      <c r="N5" s="106">
        <f>'P一般'!N5+'P原料'!N5</f>
        <v>445372</v>
      </c>
      <c r="O5" s="106">
        <f>'P一般'!O5+'P原料'!O5</f>
        <v>449345</v>
      </c>
      <c r="P5" s="106">
        <f>'P一般'!P5+'P原料'!P5</f>
        <v>413819</v>
      </c>
      <c r="Q5" s="108">
        <f>'P一般'!Q5+'P原料'!Q5</f>
        <v>2318443</v>
      </c>
      <c r="R5" s="109">
        <f>'P一般'!R5+'P原料'!R5</f>
        <v>4384220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105">
        <f>'P一般'!D6+'P原料'!D6</f>
        <v>14505962</v>
      </c>
      <c r="E6" s="106">
        <f>'P一般'!E6+'P原料'!E6</f>
        <v>16263763</v>
      </c>
      <c r="F6" s="106">
        <f>'P一般'!F6+'P原料'!F6</f>
        <v>21597980</v>
      </c>
      <c r="G6" s="106">
        <f>'P一般'!G6+'P原料'!G6</f>
        <v>18203288</v>
      </c>
      <c r="H6" s="130">
        <f>'P一般'!H6+'P原料'!H6</f>
        <v>14012423</v>
      </c>
      <c r="I6" s="130">
        <f>'P一般'!I6+'P原料'!I6</f>
        <v>14881374</v>
      </c>
      <c r="J6" s="132">
        <f>SUM(D6:I6)</f>
        <v>99464790</v>
      </c>
      <c r="K6" s="105">
        <f>'P一般'!K6+'P原料'!K6</f>
        <v>17343398</v>
      </c>
      <c r="L6" s="106">
        <f>'P一般'!L6+'P原料'!L6</f>
        <v>18164353</v>
      </c>
      <c r="M6" s="106">
        <f>'P一般'!M6+'P原料'!M6</f>
        <v>27201907</v>
      </c>
      <c r="N6" s="106">
        <f>'P一般'!N6+'P原料'!N6</f>
        <v>29961969</v>
      </c>
      <c r="O6" s="106">
        <f>'P一般'!O6+'P原料'!O6</f>
        <v>33032527</v>
      </c>
      <c r="P6" s="106">
        <f>'P一般'!P6+'P原料'!P6</f>
        <v>30606136</v>
      </c>
      <c r="Q6" s="108">
        <f>'P一般'!Q6+'P原料'!Q6</f>
        <v>156310290</v>
      </c>
      <c r="R6" s="135">
        <f>'P一般'!R6+'P原料'!R6</f>
        <v>255775080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75">
        <f aca="true" t="shared" si="0" ref="D7:I7">IF(D5=0,,D6/D5*1000)</f>
        <v>47282.87987587641</v>
      </c>
      <c r="E7" s="56">
        <f t="shared" si="0"/>
        <v>48278.76166615213</v>
      </c>
      <c r="F7" s="56">
        <f t="shared" si="0"/>
        <v>48223.12425760702</v>
      </c>
      <c r="G7" s="56">
        <f t="shared" si="0"/>
        <v>47069.88097608403</v>
      </c>
      <c r="H7" s="129">
        <f t="shared" si="0"/>
        <v>49272.20206197168</v>
      </c>
      <c r="I7" s="129">
        <f t="shared" si="0"/>
        <v>49093.84041356422</v>
      </c>
      <c r="J7" s="134">
        <f>IF(J5=0,,(J6/J5)*1000)</f>
        <v>48148.85149752369</v>
      </c>
      <c r="K7" s="57">
        <f aca="true" t="shared" si="1" ref="K7:P7">IF(K5=0,,K6/K5*1000)</f>
        <v>54178.81754624915</v>
      </c>
      <c r="L7" s="56">
        <f t="shared" si="1"/>
        <v>62965.508993659896</v>
      </c>
      <c r="M7" s="56">
        <f t="shared" si="1"/>
        <v>67782.44109321426</v>
      </c>
      <c r="N7" s="56">
        <f t="shared" si="1"/>
        <v>67274.029350745</v>
      </c>
      <c r="O7" s="56">
        <f t="shared" si="1"/>
        <v>73512.61725400305</v>
      </c>
      <c r="P7" s="57">
        <f t="shared" si="1"/>
        <v>73960.19999081724</v>
      </c>
      <c r="Q7" s="58">
        <f>IF(Q5=0,,Q6/Q5*1000)</f>
        <v>67420.37220669216</v>
      </c>
      <c r="R7" s="136">
        <f>IF(R5=0,,R6/R5*1000)</f>
        <v>58339.92819703391</v>
      </c>
      <c r="S7" s="76">
        <f>IF(S5=0,"",(S6/S5)*1000)</f>
      </c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05">
        <f>'P一般'!D8+'P原料'!D8</f>
        <v>75264</v>
      </c>
      <c r="E8" s="106">
        <f>'P一般'!E8+'P原料'!E8</f>
        <v>117182</v>
      </c>
      <c r="F8" s="106">
        <f>'P一般'!F8+'P原料'!F8</f>
        <v>66180</v>
      </c>
      <c r="G8" s="106">
        <f>'P一般'!G8+'P原料'!G8</f>
        <v>55672</v>
      </c>
      <c r="H8" s="106">
        <f>'P一般'!H8+'P原料'!H8</f>
        <v>105650</v>
      </c>
      <c r="I8" s="106">
        <f>'P一般'!I8+'P原料'!I8</f>
        <v>73717</v>
      </c>
      <c r="J8" s="108">
        <f>SUM(D8:I8)</f>
        <v>493665</v>
      </c>
      <c r="K8" s="105">
        <f>'P一般'!K8+'P原料'!K8</f>
        <v>54774</v>
      </c>
      <c r="L8" s="106">
        <f>'P一般'!L8+'P原料'!L8</f>
        <v>52656</v>
      </c>
      <c r="M8" s="106">
        <f>'P一般'!M8+'P原料'!M8</f>
        <v>106296</v>
      </c>
      <c r="N8" s="106">
        <f>'P一般'!N8+'P原料'!N8</f>
        <v>140055</v>
      </c>
      <c r="O8" s="106">
        <f>'P一般'!O8+'P原料'!O8</f>
        <v>94541</v>
      </c>
      <c r="P8" s="106">
        <f>'P一般'!P8+'P原料'!P8</f>
        <v>104638</v>
      </c>
      <c r="Q8" s="108">
        <f>'P一般'!Q8+'P原料'!Q8</f>
        <v>552960</v>
      </c>
      <c r="R8" s="109">
        <f>'P一般'!R8+'P原料'!R8</f>
        <v>1046625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05">
        <f>'P一般'!D9+'P原料'!D9</f>
        <v>3564863</v>
      </c>
      <c r="E9" s="106">
        <f>'P一般'!E9+'P原料'!E9</f>
        <v>5600240</v>
      </c>
      <c r="F9" s="106">
        <f>'P一般'!F9+'P原料'!F9</f>
        <v>3140127</v>
      </c>
      <c r="G9" s="106">
        <f>'P一般'!G9+'P原料'!G9</f>
        <v>2614658</v>
      </c>
      <c r="H9" s="106">
        <f>'P一般'!H9+'P原料'!H9</f>
        <v>5073351</v>
      </c>
      <c r="I9" s="106">
        <f>'P一般'!I9+'P原料'!I9</f>
        <v>3581024</v>
      </c>
      <c r="J9" s="108">
        <f>SUM(D9:I9)</f>
        <v>23574263</v>
      </c>
      <c r="K9" s="105">
        <f>'P一般'!K9+'P原料'!K9</f>
        <v>2889504</v>
      </c>
      <c r="L9" s="106">
        <f>'P一般'!L9+'P原料'!L9</f>
        <v>3373964</v>
      </c>
      <c r="M9" s="106">
        <f>'P一般'!M9+'P原料'!M9</f>
        <v>7232315</v>
      </c>
      <c r="N9" s="106">
        <f>'P一般'!N9+'P原料'!N9</f>
        <v>9385127</v>
      </c>
      <c r="O9" s="106">
        <f>'P一般'!O9+'P原料'!O9</f>
        <v>7041323</v>
      </c>
      <c r="P9" s="106">
        <f>'P一般'!P9+'P原料'!P9</f>
        <v>7517744</v>
      </c>
      <c r="Q9" s="108">
        <f>'P一般'!Q9+'P原料'!Q9</f>
        <v>37439977</v>
      </c>
      <c r="R9" s="109">
        <f>'P一般'!R9+'P原料'!R9</f>
        <v>61014240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75">
        <f aca="true" t="shared" si="2" ref="D10:I10">IF(D8=0,,D9/D8*1000)</f>
        <v>47364.78263180272</v>
      </c>
      <c r="E10" s="56">
        <f t="shared" si="2"/>
        <v>47790.957655612634</v>
      </c>
      <c r="F10" s="56">
        <f t="shared" si="2"/>
        <v>47448.27742520399</v>
      </c>
      <c r="G10" s="56">
        <f t="shared" si="2"/>
        <v>46965.40451214255</v>
      </c>
      <c r="H10" s="56">
        <f t="shared" si="2"/>
        <v>48020.35967818268</v>
      </c>
      <c r="I10" s="56">
        <f t="shared" si="2"/>
        <v>48577.994221143024</v>
      </c>
      <c r="J10" s="58">
        <f>IF(J8=0,,(J9/J8)*1000)</f>
        <v>47753.56365146405</v>
      </c>
      <c r="K10" s="57">
        <f aca="true" t="shared" si="3" ref="K10:R10">IF(K8=0,,K9/K8*1000)</f>
        <v>52753.20407492606</v>
      </c>
      <c r="L10" s="56">
        <f t="shared" si="3"/>
        <v>64075.58492859313</v>
      </c>
      <c r="M10" s="56">
        <f t="shared" si="3"/>
        <v>68039.3900052683</v>
      </c>
      <c r="N10" s="56">
        <f t="shared" si="3"/>
        <v>67010.29595516047</v>
      </c>
      <c r="O10" s="56">
        <f t="shared" si="3"/>
        <v>74479.04083942415</v>
      </c>
      <c r="P10" s="57">
        <f t="shared" si="3"/>
        <v>71845.25698121142</v>
      </c>
      <c r="Q10" s="58">
        <f t="shared" si="3"/>
        <v>67708.29173900464</v>
      </c>
      <c r="R10" s="59">
        <f t="shared" si="3"/>
        <v>58296.18058043712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105">
        <f>'P一般'!D11+'P原料'!D11</f>
        <v>65263</v>
      </c>
      <c r="E11" s="106">
        <f>'P一般'!E11+'P原料'!E11</f>
        <v>31413</v>
      </c>
      <c r="F11" s="106">
        <f>'P一般'!F11+'P原料'!F11</f>
        <v>0</v>
      </c>
      <c r="G11" s="106">
        <f>'P一般'!G11+'P原料'!G11</f>
        <v>0</v>
      </c>
      <c r="H11" s="106">
        <f>'P一般'!H11+'P原料'!H11</f>
        <v>0</v>
      </c>
      <c r="I11" s="106">
        <f>'P一般'!I11+'P原料'!I11</f>
        <v>26256</v>
      </c>
      <c r="J11" s="108">
        <f>SUM(D11:I11)</f>
        <v>122932</v>
      </c>
      <c r="K11" s="105">
        <f>'P一般'!K11+'P原料'!K11</f>
        <v>14505</v>
      </c>
      <c r="L11" s="106">
        <f>'P一般'!L11+'P原料'!L11</f>
        <v>32971</v>
      </c>
      <c r="M11" s="106">
        <f>'P一般'!M11+'P原料'!M11</f>
        <v>0</v>
      </c>
      <c r="N11" s="106">
        <f>'P一般'!N11+'P原料'!N11</f>
        <v>0</v>
      </c>
      <c r="O11" s="106">
        <f>'P一般'!O11+'P原料'!O11</f>
        <v>19043</v>
      </c>
      <c r="P11" s="106">
        <f>'P一般'!P11+'P原料'!P11</f>
        <v>92423</v>
      </c>
      <c r="Q11" s="108">
        <f>'P一般'!Q11+'P原料'!Q11</f>
        <v>158942</v>
      </c>
      <c r="R11" s="109">
        <f>'P一般'!R11+'P原料'!R11</f>
        <v>281874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105">
        <f>'P一般'!D12+'P原料'!D12</f>
        <v>3032995</v>
      </c>
      <c r="E12" s="106">
        <f>'P一般'!E12+'P原料'!E12</f>
        <v>1528086</v>
      </c>
      <c r="F12" s="106">
        <f>'P一般'!F12+'P原料'!F12</f>
        <v>0</v>
      </c>
      <c r="G12" s="106">
        <f>'P一般'!G12+'P原料'!G12</f>
        <v>0</v>
      </c>
      <c r="H12" s="106">
        <f>'P一般'!H12+'P原料'!H12</f>
        <v>0</v>
      </c>
      <c r="I12" s="106">
        <f>'P一般'!I12+'P原料'!I12</f>
        <v>1249613</v>
      </c>
      <c r="J12" s="108">
        <f>SUM(D12:I12)</f>
        <v>5810694</v>
      </c>
      <c r="K12" s="105">
        <f>'P一般'!K12+'P原料'!K12</f>
        <v>803079</v>
      </c>
      <c r="L12" s="106">
        <f>'P一般'!L12+'P原料'!L12</f>
        <v>1773158</v>
      </c>
      <c r="M12" s="106">
        <f>'P一般'!M12+'P原料'!M12</f>
        <v>0</v>
      </c>
      <c r="N12" s="106">
        <f>'P一般'!N12+'P原料'!N12</f>
        <v>0</v>
      </c>
      <c r="O12" s="106">
        <f>'P一般'!O12+'P原料'!O12</f>
        <v>1518870</v>
      </c>
      <c r="P12" s="106">
        <f>'P一般'!P12+'P原料'!P12</f>
        <v>7144286</v>
      </c>
      <c r="Q12" s="108">
        <f>'P一般'!Q12+'P原料'!Q12</f>
        <v>11239393</v>
      </c>
      <c r="R12" s="109">
        <f>'P一般'!R12+'P原料'!R12</f>
        <v>17050087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75">
        <f aca="true" t="shared" si="4" ref="D13:I13">IF(D11=0,,D12/D11*1000)</f>
        <v>46473.42291957158</v>
      </c>
      <c r="E13" s="56">
        <f t="shared" si="4"/>
        <v>48645.019577881765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6">
        <f t="shared" si="4"/>
        <v>47593.42626447288</v>
      </c>
      <c r="J13" s="58">
        <f>IF(J11=0,,(J12/J11)*1000)</f>
        <v>47267.54628575147</v>
      </c>
      <c r="K13" s="57">
        <f aca="true" t="shared" si="5" ref="K13:P13">IF(K11=0,,K12/K11*1000)</f>
        <v>55365.667011375386</v>
      </c>
      <c r="L13" s="56">
        <f t="shared" si="5"/>
        <v>53779.32122167966</v>
      </c>
      <c r="M13" s="56">
        <f t="shared" si="5"/>
        <v>0</v>
      </c>
      <c r="N13" s="56">
        <f t="shared" si="5"/>
        <v>0</v>
      </c>
      <c r="O13" s="56">
        <f t="shared" si="5"/>
        <v>79760.016804075</v>
      </c>
      <c r="P13" s="57">
        <f t="shared" si="5"/>
        <v>77299.87124417082</v>
      </c>
      <c r="Q13" s="58">
        <f>IF(Q11=0,,Q12/Q11*1000)</f>
        <v>70713.80126083728</v>
      </c>
      <c r="R13" s="59">
        <f>IF(R11=0,,R12/R11*1000)</f>
        <v>60488.32811823723</v>
      </c>
      <c r="S13" s="76">
        <f>IF(S11=0,"",(S12/S11)*1000)</f>
      </c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105">
        <f>'P一般'!D14+'P原料'!D14</f>
        <v>8507</v>
      </c>
      <c r="E14" s="106">
        <f>'P一般'!E14+'P原料'!E14</f>
        <v>0</v>
      </c>
      <c r="F14" s="106">
        <f>'P一般'!F14+'P原料'!F14</f>
        <v>0</v>
      </c>
      <c r="G14" s="106">
        <f>'P一般'!G14+'P原料'!G14</f>
        <v>30763</v>
      </c>
      <c r="H14" s="106">
        <f>'P一般'!H14+'P原料'!H14</f>
        <v>0</v>
      </c>
      <c r="I14" s="106">
        <f>'P一般'!I14+'P原料'!I14</f>
        <v>0</v>
      </c>
      <c r="J14" s="108">
        <f>SUM(D14:I14)</f>
        <v>39270</v>
      </c>
      <c r="K14" s="105">
        <f>'P一般'!K14+'P原料'!K14</f>
        <v>0</v>
      </c>
      <c r="L14" s="106">
        <f>'P一般'!L14+'P原料'!L14</f>
        <v>0</v>
      </c>
      <c r="M14" s="106">
        <f>'P一般'!M14+'P原料'!M14</f>
        <v>0</v>
      </c>
      <c r="N14" s="106">
        <f>'P一般'!N14+'P原料'!N14</f>
        <v>0</v>
      </c>
      <c r="O14" s="106">
        <f>'P一般'!O14+'P原料'!O14</f>
        <v>0</v>
      </c>
      <c r="P14" s="106">
        <f>'P一般'!P14+'P原料'!P14</f>
        <v>0</v>
      </c>
      <c r="Q14" s="108">
        <f>'P一般'!Q14+'P原料'!Q14</f>
        <v>0</v>
      </c>
      <c r="R14" s="109">
        <f>'P一般'!R14+'P原料'!R14</f>
        <v>39270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105">
        <f>'P一般'!D15+'P原料'!D15</f>
        <v>405166</v>
      </c>
      <c r="E15" s="106">
        <f>'P一般'!E15+'P原料'!E15</f>
        <v>0</v>
      </c>
      <c r="F15" s="106">
        <f>'P一般'!F15+'P原料'!F15</f>
        <v>0</v>
      </c>
      <c r="G15" s="106">
        <f>'P一般'!G15+'P原料'!G15</f>
        <v>1458430</v>
      </c>
      <c r="H15" s="106">
        <f>'P一般'!H15+'P原料'!H15</f>
        <v>0</v>
      </c>
      <c r="I15" s="106">
        <f>'P一般'!I15+'P原料'!I15</f>
        <v>0</v>
      </c>
      <c r="J15" s="108">
        <f>SUM(D15:I15)</f>
        <v>1863596</v>
      </c>
      <c r="K15" s="105">
        <f>'P一般'!K15+'P原料'!K15</f>
        <v>0</v>
      </c>
      <c r="L15" s="106">
        <f>'P一般'!L15+'P原料'!L15</f>
        <v>0</v>
      </c>
      <c r="M15" s="106">
        <f>'P一般'!M15+'P原料'!M15</f>
        <v>0</v>
      </c>
      <c r="N15" s="106">
        <f>'P一般'!N15+'P原料'!N15</f>
        <v>0</v>
      </c>
      <c r="O15" s="106">
        <f>'P一般'!O15+'P原料'!O15</f>
        <v>0</v>
      </c>
      <c r="P15" s="106">
        <f>'P一般'!P15+'P原料'!P15</f>
        <v>0</v>
      </c>
      <c r="Q15" s="108">
        <f>'P一般'!Q15+'P原料'!Q15</f>
        <v>0</v>
      </c>
      <c r="R15" s="109">
        <f>'P一般'!R15+'P原料'!R15</f>
        <v>1863596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75">
        <f aca="true" t="shared" si="6" ref="D16:I16">IF(D14=0,,D15/D14*1000)</f>
        <v>47627.36569883625</v>
      </c>
      <c r="E16" s="56">
        <f t="shared" si="6"/>
        <v>0</v>
      </c>
      <c r="F16" s="56">
        <f t="shared" si="6"/>
        <v>0</v>
      </c>
      <c r="G16" s="56">
        <f t="shared" si="6"/>
        <v>47408.57523648539</v>
      </c>
      <c r="H16" s="56">
        <f t="shared" si="6"/>
        <v>0</v>
      </c>
      <c r="I16" s="56">
        <f t="shared" si="6"/>
        <v>0</v>
      </c>
      <c r="J16" s="58">
        <f>IF(J14=0,,(J15/J14)*1000)</f>
        <v>47455.97147950089</v>
      </c>
      <c r="K16" s="57">
        <f aca="true" t="shared" si="7" ref="K16:P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>IF(Q14=0,,Q15/Q14*1000)</f>
        <v>0</v>
      </c>
      <c r="R16" s="59">
        <f>IF(R14=0,,R15/R14*1000)</f>
        <v>47455.97147950089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105">
        <f>'P一般'!D17+'P原料'!D17</f>
        <v>57912</v>
      </c>
      <c r="E17" s="106">
        <f>'P一般'!E17+'P原料'!E17</f>
        <v>138734</v>
      </c>
      <c r="F17" s="106">
        <f>'P一般'!F17+'P原料'!F17</f>
        <v>64655</v>
      </c>
      <c r="G17" s="106">
        <f>'P一般'!G17+'P原料'!G17</f>
        <v>34190</v>
      </c>
      <c r="H17" s="106">
        <f>'P一般'!H17+'P原料'!H17</f>
        <v>58878</v>
      </c>
      <c r="I17" s="106">
        <f>'P一般'!I17+'P原料'!I17</f>
        <v>55203</v>
      </c>
      <c r="J17" s="108">
        <f>SUM(D17:I17)</f>
        <v>409572</v>
      </c>
      <c r="K17" s="105">
        <f>'P一般'!K17+'P原料'!K17</f>
        <v>96646</v>
      </c>
      <c r="L17" s="106">
        <f>'P一般'!L17+'P原料'!L17</f>
        <v>97415</v>
      </c>
      <c r="M17" s="106">
        <f>'P一般'!M17+'P原料'!M17</f>
        <v>68308</v>
      </c>
      <c r="N17" s="106">
        <f>'P一般'!N17+'P原料'!N17</f>
        <v>53183</v>
      </c>
      <c r="O17" s="106">
        <f>'P一般'!O17+'P原料'!O17</f>
        <v>213267</v>
      </c>
      <c r="P17" s="106">
        <f>'P一般'!P17+'P原料'!P17</f>
        <v>108763</v>
      </c>
      <c r="Q17" s="108">
        <f>'P一般'!Q17+'P原料'!Q17</f>
        <v>637582</v>
      </c>
      <c r="R17" s="109">
        <f>'P一般'!R17+'P原料'!R17</f>
        <v>1047154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105">
        <f>'P一般'!D18+'P原料'!D18</f>
        <v>2610108</v>
      </c>
      <c r="E18" s="106">
        <f>'P一般'!E18+'P原料'!E18</f>
        <v>6733446</v>
      </c>
      <c r="F18" s="106">
        <f>'P一般'!F18+'P原料'!F18</f>
        <v>3131805</v>
      </c>
      <c r="G18" s="106">
        <f>'P一般'!G18+'P原料'!G18</f>
        <v>1629476</v>
      </c>
      <c r="H18" s="106">
        <f>'P一般'!H18+'P原料'!H18</f>
        <v>2881264</v>
      </c>
      <c r="I18" s="130">
        <f>'P一般'!I18+'P原料'!I18</f>
        <v>2735196</v>
      </c>
      <c r="J18" s="132">
        <f>SUM(D18:I18)</f>
        <v>19721295</v>
      </c>
      <c r="K18" s="105">
        <f>'P一般'!K18+'P原料'!K18</f>
        <v>5309200</v>
      </c>
      <c r="L18" s="106">
        <f>'P一般'!L18+'P原料'!L18</f>
        <v>6371170</v>
      </c>
      <c r="M18" s="106">
        <f>'P一般'!M18+'P原料'!M18</f>
        <v>4650984</v>
      </c>
      <c r="N18" s="106">
        <f>'P一般'!N18+'P原料'!N18</f>
        <v>3621359</v>
      </c>
      <c r="O18" s="106">
        <f>'P一般'!O18+'P原料'!O18</f>
        <v>15788177</v>
      </c>
      <c r="P18" s="106">
        <f>'P一般'!P18+'P原料'!P18</f>
        <v>8484403</v>
      </c>
      <c r="Q18" s="108">
        <f>'P一般'!Q18+'P原料'!Q18</f>
        <v>44225293</v>
      </c>
      <c r="R18" s="135">
        <f>'P一般'!R18+'P原料'!R18</f>
        <v>63946588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75">
        <f aca="true" t="shared" si="8" ref="D19:I19">IF(D17=0,,D18/D17*1000)</f>
        <v>45070.24450891007</v>
      </c>
      <c r="E19" s="56">
        <f t="shared" si="8"/>
        <v>48534.937362146266</v>
      </c>
      <c r="F19" s="56">
        <f t="shared" si="8"/>
        <v>48438.71316990179</v>
      </c>
      <c r="G19" s="56">
        <f t="shared" si="8"/>
        <v>47659.4325826265</v>
      </c>
      <c r="H19" s="56">
        <f t="shared" si="8"/>
        <v>48936.173103705965</v>
      </c>
      <c r="I19" s="129">
        <f t="shared" si="8"/>
        <v>49547.95935003533</v>
      </c>
      <c r="J19" s="134">
        <f>IF(J17=0,,(J18/J17)*1000)</f>
        <v>48150.984442295856</v>
      </c>
      <c r="K19" s="57">
        <f aca="true" t="shared" si="9" ref="K19:R19">IF(K17=0,,K18/K17*1000)</f>
        <v>54934.50323862343</v>
      </c>
      <c r="L19" s="56">
        <f t="shared" si="9"/>
        <v>65402.35076733562</v>
      </c>
      <c r="M19" s="56">
        <f t="shared" si="9"/>
        <v>68088.42302512152</v>
      </c>
      <c r="N19" s="56">
        <f t="shared" si="9"/>
        <v>68092.41674971326</v>
      </c>
      <c r="O19" s="56">
        <f t="shared" si="9"/>
        <v>74030.09842122784</v>
      </c>
      <c r="P19" s="57">
        <f t="shared" si="9"/>
        <v>78008.17373555346</v>
      </c>
      <c r="Q19" s="58">
        <f t="shared" si="9"/>
        <v>69364.08650181467</v>
      </c>
      <c r="R19" s="136">
        <f t="shared" si="9"/>
        <v>61067.033120247834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105">
        <f>'P一般'!D20+'P原料'!D20</f>
        <v>107168</v>
      </c>
      <c r="E20" s="106">
        <f>'P一般'!E20+'P原料'!E20</f>
        <v>156086</v>
      </c>
      <c r="F20" s="106">
        <f>'P一般'!F20+'P原料'!F20</f>
        <v>146939</v>
      </c>
      <c r="G20" s="106">
        <f>'P一般'!G20+'P原料'!G20</f>
        <v>141739</v>
      </c>
      <c r="H20" s="106">
        <f>'P一般'!H20+'P原料'!H20</f>
        <v>158925</v>
      </c>
      <c r="I20" s="106">
        <f>'P一般'!I20+'P原料'!I20</f>
        <v>185001</v>
      </c>
      <c r="J20" s="108">
        <f>SUM(D20:I20)</f>
        <v>895858</v>
      </c>
      <c r="K20" s="105">
        <f>'P一般'!K20+'P原料'!K20</f>
        <v>82449</v>
      </c>
      <c r="L20" s="106">
        <f>'P一般'!L20+'P原料'!L20</f>
        <v>146016</v>
      </c>
      <c r="M20" s="106">
        <f>'P一般'!M20+'P原料'!M20</f>
        <v>272526</v>
      </c>
      <c r="N20" s="106">
        <f>'P一般'!N20+'P原料'!N20</f>
        <v>242330</v>
      </c>
      <c r="O20" s="106">
        <f>'P一般'!O20+'P原料'!O20</f>
        <v>103797</v>
      </c>
      <c r="P20" s="106">
        <f>'P一般'!P20+'P原料'!P20</f>
        <v>275480</v>
      </c>
      <c r="Q20" s="108">
        <f>'P一般'!Q20+'P原料'!Q20</f>
        <v>1122598</v>
      </c>
      <c r="R20" s="109">
        <f>'P一般'!R20+'P原料'!R20</f>
        <v>2018456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105">
        <f>'P一般'!D21+'P原料'!D21</f>
        <v>4623896</v>
      </c>
      <c r="E21" s="106">
        <f>'P一般'!E21+'P原料'!E21</f>
        <v>7260788</v>
      </c>
      <c r="F21" s="106">
        <f>'P一般'!F21+'P原料'!F21</f>
        <v>7133480</v>
      </c>
      <c r="G21" s="106">
        <f>'P一般'!G21+'P原料'!G21</f>
        <v>6758499</v>
      </c>
      <c r="H21" s="106">
        <f>'P一般'!H21+'P原料'!H21</f>
        <v>7008722</v>
      </c>
      <c r="I21" s="106">
        <f>'P一般'!I21+'P原料'!I21</f>
        <v>8925175</v>
      </c>
      <c r="J21" s="108">
        <f>SUM(D21:I21)</f>
        <v>41710560</v>
      </c>
      <c r="K21" s="140">
        <f>'P一般'!K21+'P原料'!K21</f>
        <v>4290174</v>
      </c>
      <c r="L21" s="106">
        <f>'P一般'!L21+'P原料'!L21</f>
        <v>8892340</v>
      </c>
      <c r="M21" s="106">
        <f>'P一般'!M21+'P原料'!M21</f>
        <v>18488179</v>
      </c>
      <c r="N21" s="106">
        <f>'P一般'!N21+'P原料'!N21</f>
        <v>16361346</v>
      </c>
      <c r="O21" s="106">
        <f>'P一般'!O21+'P原料'!O21</f>
        <v>7538683</v>
      </c>
      <c r="P21" s="106">
        <f>'P一般'!P21+'P原料'!P21</f>
        <v>19129080</v>
      </c>
      <c r="Q21" s="108">
        <f>'P一般'!Q21+'P原料'!Q21</f>
        <v>74699802</v>
      </c>
      <c r="R21" s="135">
        <f>'P一般'!R21+'P原料'!R21</f>
        <v>116410362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75">
        <f aca="true" t="shared" si="10" ref="D22:I22">IF(D20=0,,D21/D20*1000)</f>
        <v>43146.237682890416</v>
      </c>
      <c r="E22" s="56">
        <f t="shared" si="10"/>
        <v>46517.86835462502</v>
      </c>
      <c r="F22" s="56">
        <f t="shared" si="10"/>
        <v>48547.22027508014</v>
      </c>
      <c r="G22" s="56">
        <f t="shared" si="10"/>
        <v>47682.70553623209</v>
      </c>
      <c r="H22" s="56">
        <f t="shared" si="10"/>
        <v>44100.81484977191</v>
      </c>
      <c r="I22" s="56">
        <f t="shared" si="10"/>
        <v>48243.928411197776</v>
      </c>
      <c r="J22" s="58">
        <f>IF(J20=0,,(J21/J20)*1000)</f>
        <v>46559.34311018041</v>
      </c>
      <c r="K22" s="133">
        <f aca="true" t="shared" si="11" ref="K22:R22">IF(K20=0,,K21/K20*1000)</f>
        <v>52034.275734090166</v>
      </c>
      <c r="L22" s="56">
        <f t="shared" si="11"/>
        <v>60899.76440937979</v>
      </c>
      <c r="M22" s="56">
        <f t="shared" si="11"/>
        <v>67840.05562771992</v>
      </c>
      <c r="N22" s="56">
        <f t="shared" si="11"/>
        <v>67516.799405769</v>
      </c>
      <c r="O22" s="56">
        <f t="shared" si="11"/>
        <v>72629.10296058653</v>
      </c>
      <c r="P22" s="57">
        <f t="shared" si="11"/>
        <v>69439.08813706985</v>
      </c>
      <c r="Q22" s="58">
        <f t="shared" si="11"/>
        <v>66541.89834651408</v>
      </c>
      <c r="R22" s="136">
        <f t="shared" si="11"/>
        <v>57672.97478865034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105">
        <f>'P一般'!D23+'P原料'!D23</f>
        <v>63718</v>
      </c>
      <c r="E23" s="106">
        <f>'P一般'!E23+'P原料'!E23</f>
        <v>52657</v>
      </c>
      <c r="F23" s="106">
        <f>'P一般'!F23+'P原料'!F23</f>
        <v>41529</v>
      </c>
      <c r="G23" s="106">
        <f>'P一般'!G23+'P原料'!G23</f>
        <v>36589</v>
      </c>
      <c r="H23" s="106">
        <f>'P一般'!H23+'P原料'!H23</f>
        <v>21028</v>
      </c>
      <c r="I23" s="106">
        <f>'P一般'!I23+'P原料'!I23</f>
        <v>27834</v>
      </c>
      <c r="J23" s="108">
        <f>SUM(D23:I23)</f>
        <v>243355</v>
      </c>
      <c r="K23" s="105">
        <f>'P一般'!K23+'P原料'!K23</f>
        <v>53013</v>
      </c>
      <c r="L23" s="106">
        <f>'P一般'!L23+'P原料'!L23</f>
        <v>30911</v>
      </c>
      <c r="M23" s="106">
        <f>'P一般'!M23+'P原料'!M23</f>
        <v>64564</v>
      </c>
      <c r="N23" s="106">
        <f>'P一般'!N23+'P原料'!N23</f>
        <v>2031</v>
      </c>
      <c r="O23" s="106">
        <f>'P一般'!O23+'P原料'!O23</f>
        <v>53132</v>
      </c>
      <c r="P23" s="106">
        <f>'P一般'!P23+'P原料'!P23</f>
        <v>51915</v>
      </c>
      <c r="Q23" s="108">
        <f>'P一般'!Q23+'P原料'!Q23</f>
        <v>255566</v>
      </c>
      <c r="R23" s="109">
        <f>'P一般'!R23+'P原料'!R23</f>
        <v>498921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105">
        <f>'P一般'!D24+'P原料'!D24</f>
        <v>3110790</v>
      </c>
      <c r="E24" s="106">
        <f>'P一般'!E24+'P原料'!E24</f>
        <v>2547865</v>
      </c>
      <c r="F24" s="106">
        <f>'P一般'!F24+'P原料'!F24</f>
        <v>1947034</v>
      </c>
      <c r="G24" s="106">
        <f>'P一般'!G24+'P原料'!G24</f>
        <v>1757954</v>
      </c>
      <c r="H24" s="106">
        <f>'P一般'!H24+'P原料'!H24</f>
        <v>1049375</v>
      </c>
      <c r="I24" s="106">
        <f>'P一般'!I24+'P原料'!I24</f>
        <v>1352263</v>
      </c>
      <c r="J24" s="108">
        <f>SUM(D24:I24)</f>
        <v>11765281</v>
      </c>
      <c r="K24" s="105">
        <f>'P一般'!K24+'P原料'!K24</f>
        <v>2939624</v>
      </c>
      <c r="L24" s="106">
        <f>'P一般'!L24+'P原料'!L24</f>
        <v>1835649</v>
      </c>
      <c r="M24" s="106">
        <f>'P一般'!M24+'P原料'!M24</f>
        <v>4352921</v>
      </c>
      <c r="N24" s="106">
        <f>'P一般'!N24+'P原料'!N24</f>
        <v>128533</v>
      </c>
      <c r="O24" s="106">
        <f>'P一般'!O24+'P原料'!O24</f>
        <v>4033042</v>
      </c>
      <c r="P24" s="106">
        <f>'P一般'!P24+'P原料'!P24</f>
        <v>3822078</v>
      </c>
      <c r="Q24" s="108">
        <f>'P一般'!Q24+'P原料'!Q24</f>
        <v>17111847</v>
      </c>
      <c r="R24" s="109">
        <f>'P一般'!R24+'P原料'!R24</f>
        <v>28877128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75">
        <f aca="true" t="shared" si="12" ref="D25:I25">IF(D23=0,,D24/D23*1000)</f>
        <v>48821.2122163282</v>
      </c>
      <c r="E25" s="56">
        <f t="shared" si="12"/>
        <v>48386.06453083161</v>
      </c>
      <c r="F25" s="56">
        <f t="shared" si="12"/>
        <v>46883.719810253075</v>
      </c>
      <c r="G25" s="56">
        <f t="shared" si="12"/>
        <v>48045.97010030337</v>
      </c>
      <c r="H25" s="56">
        <f t="shared" si="12"/>
        <v>49903.6998287997</v>
      </c>
      <c r="I25" s="56">
        <f t="shared" si="12"/>
        <v>48583.135733275856</v>
      </c>
      <c r="J25" s="58">
        <f>IF(J23=0,,(J24/J23)*1000)</f>
        <v>48346.16506749399</v>
      </c>
      <c r="K25" s="57">
        <f aca="true" t="shared" si="13" ref="K25:P25">IF(K23=0,,K24/K23*1000)</f>
        <v>55451.00258427178</v>
      </c>
      <c r="L25" s="56">
        <f t="shared" si="13"/>
        <v>59384.976222056874</v>
      </c>
      <c r="M25" s="56">
        <f t="shared" si="13"/>
        <v>67420.24967474134</v>
      </c>
      <c r="N25" s="56">
        <f t="shared" si="13"/>
        <v>63285.573609059575</v>
      </c>
      <c r="O25" s="56">
        <f t="shared" si="13"/>
        <v>75906.08296318603</v>
      </c>
      <c r="P25" s="57">
        <f t="shared" si="13"/>
        <v>73621.8433978619</v>
      </c>
      <c r="Q25" s="58">
        <f>IF(Q23=0,,Q24/Q23*1000)</f>
        <v>66956.66481456844</v>
      </c>
      <c r="R25" s="59">
        <f>IF(R23=0,,R24/R23*1000)</f>
        <v>57879.15922560887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105">
        <f>'P一般'!D26+'P原料'!D26</f>
        <v>54994</v>
      </c>
      <c r="E26" s="106">
        <f>'P一般'!E26+'P原料'!E26</f>
        <v>23018</v>
      </c>
      <c r="F26" s="106">
        <f>'P一般'!F26+'P原料'!F26</f>
        <v>43679</v>
      </c>
      <c r="G26" s="106">
        <f>'P一般'!G26+'P原料'!G26</f>
        <v>11308</v>
      </c>
      <c r="H26" s="106">
        <f>'P一般'!H26+'P原料'!H26</f>
        <v>30845</v>
      </c>
      <c r="I26" s="106">
        <f>'P一般'!I26+'P原料'!I26</f>
        <v>36906</v>
      </c>
      <c r="J26" s="108">
        <f>SUM(D26:I26)</f>
        <v>200750</v>
      </c>
      <c r="K26" s="105">
        <f>'P一般'!K26+'P原料'!K26</f>
        <v>5137</v>
      </c>
      <c r="L26" s="106">
        <f>'P一般'!L26+'P原料'!L26</f>
        <v>32465</v>
      </c>
      <c r="M26" s="106">
        <f>'P一般'!M26+'P原料'!M26</f>
        <v>58349</v>
      </c>
      <c r="N26" s="106">
        <f>'P一般'!N26+'P原料'!N26</f>
        <v>53085</v>
      </c>
      <c r="O26" s="106">
        <f>'P一般'!O26+'P原料'!O26</f>
        <v>27779</v>
      </c>
      <c r="P26" s="106">
        <f>'P一般'!P26+'P原料'!P26</f>
        <v>249</v>
      </c>
      <c r="Q26" s="108">
        <f>'P一般'!Q26+'P原料'!Q26</f>
        <v>177064</v>
      </c>
      <c r="R26" s="109">
        <f>'P一般'!R26+'P原料'!R26</f>
        <v>377814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105">
        <f>'P一般'!D27+'P原料'!D27</f>
        <v>2510068</v>
      </c>
      <c r="E27" s="106">
        <f>'P一般'!E27+'P原料'!E27</f>
        <v>1111226</v>
      </c>
      <c r="F27" s="106">
        <f>'P一般'!F27+'P原料'!F27</f>
        <v>2080398</v>
      </c>
      <c r="G27" s="106">
        <f>'P一般'!G27+'P原料'!G27</f>
        <v>522227</v>
      </c>
      <c r="H27" s="106">
        <f>'P一般'!H27+'P原料'!H27</f>
        <v>1473309</v>
      </c>
      <c r="I27" s="106">
        <f>'P一般'!I27+'P原料'!I27</f>
        <v>1932208</v>
      </c>
      <c r="J27" s="108">
        <f>SUM(D27:I27)</f>
        <v>9629436</v>
      </c>
      <c r="K27" s="105">
        <f>'P一般'!K27+'P原料'!K27</f>
        <v>260761</v>
      </c>
      <c r="L27" s="106">
        <f>'P一般'!L27+'P原料'!L27</f>
        <v>2019276</v>
      </c>
      <c r="M27" s="106">
        <f>'P一般'!M27+'P原料'!M27</f>
        <v>3743048</v>
      </c>
      <c r="N27" s="106">
        <f>'P一般'!N27+'P原料'!N27</f>
        <v>3456227</v>
      </c>
      <c r="O27" s="106">
        <f>'P一般'!O27+'P原料'!O27</f>
        <v>2177498</v>
      </c>
      <c r="P27" s="106">
        <f>'P一般'!P27+'P原料'!P27</f>
        <v>5792</v>
      </c>
      <c r="Q27" s="108">
        <f>'P一般'!Q27+'P原料'!Q27</f>
        <v>11662602</v>
      </c>
      <c r="R27" s="109">
        <f>'P一般'!R27+'P原料'!R27</f>
        <v>21292038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75">
        <f aca="true" t="shared" si="14" ref="D28:I28">IF(D26=0,,D27/D26*1000)</f>
        <v>45642.57919045714</v>
      </c>
      <c r="E28" s="56">
        <f t="shared" si="14"/>
        <v>48276.392388565466</v>
      </c>
      <c r="F28" s="56">
        <f t="shared" si="14"/>
        <v>47629.2497538863</v>
      </c>
      <c r="G28" s="56">
        <f t="shared" si="14"/>
        <v>46182.083480721616</v>
      </c>
      <c r="H28" s="56">
        <f t="shared" si="14"/>
        <v>47764.92138109904</v>
      </c>
      <c r="I28" s="56">
        <f t="shared" si="14"/>
        <v>52354.847450279085</v>
      </c>
      <c r="J28" s="58">
        <f>IF(J26=0,,(J27/J26)*1000)</f>
        <v>47967.302615193024</v>
      </c>
      <c r="K28" s="57">
        <f aca="true" t="shared" si="15" ref="K28:P28">IF(K26=0,,K27/K26*1000)</f>
        <v>50761.33930309519</v>
      </c>
      <c r="L28" s="56">
        <f t="shared" si="15"/>
        <v>62198.55228707839</v>
      </c>
      <c r="M28" s="56">
        <f t="shared" si="15"/>
        <v>64149.3084714391</v>
      </c>
      <c r="N28" s="56">
        <f t="shared" si="15"/>
        <v>65107.4126401055</v>
      </c>
      <c r="O28" s="56">
        <f t="shared" si="15"/>
        <v>78386.47899492421</v>
      </c>
      <c r="P28" s="57">
        <f t="shared" si="15"/>
        <v>23261.04417670683</v>
      </c>
      <c r="Q28" s="58">
        <f>IF(Q26=0,,Q27/Q26*1000)</f>
        <v>65866.59061130439</v>
      </c>
      <c r="R28" s="59">
        <f>IF(R26=0,,R27/R26*1000)</f>
        <v>56355.873525067895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105">
        <f>'P一般'!D29+'P原料'!D29</f>
        <v>767</v>
      </c>
      <c r="E29" s="106">
        <f>'P一般'!E29+'P原料'!E29</f>
        <v>763</v>
      </c>
      <c r="F29" s="106">
        <f>'P一般'!F29+'P原料'!F29</f>
        <v>760</v>
      </c>
      <c r="G29" s="106">
        <f>'P一般'!G29+'P原料'!G29</f>
        <v>0</v>
      </c>
      <c r="H29" s="106">
        <f>'P一般'!H29+'P原料'!H29</f>
        <v>1503</v>
      </c>
      <c r="I29" s="106">
        <f>'P一般'!I29+'P原料'!I29</f>
        <v>755</v>
      </c>
      <c r="J29" s="108">
        <f>SUM(D29:I29)</f>
        <v>4548</v>
      </c>
      <c r="K29" s="105">
        <f>'P一般'!K29+'P原料'!K29</f>
        <v>759</v>
      </c>
      <c r="L29" s="106">
        <f>'P一般'!L29+'P原料'!L29</f>
        <v>451</v>
      </c>
      <c r="M29" s="106">
        <f>'P一般'!M29+'P原料'!M29</f>
        <v>1058</v>
      </c>
      <c r="N29" s="106">
        <f>'P一般'!N29+'P原料'!N29</f>
        <v>2063</v>
      </c>
      <c r="O29" s="106">
        <f>'P一般'!O29+'P原料'!O29</f>
        <v>0</v>
      </c>
      <c r="P29" s="106">
        <f>'P一般'!P29+'P原料'!P29</f>
        <v>2260</v>
      </c>
      <c r="Q29" s="108">
        <f>'P一般'!Q29+'P原料'!Q29</f>
        <v>6591</v>
      </c>
      <c r="R29" s="109">
        <f>'P一般'!R29+'P原料'!R29</f>
        <v>11139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105">
        <f>'P一般'!D30+'P原料'!D30</f>
        <v>36607</v>
      </c>
      <c r="E30" s="106">
        <f>'P一般'!E30+'P原料'!E30</f>
        <v>38814</v>
      </c>
      <c r="F30" s="106">
        <f>'P一般'!F30+'P原料'!F30</f>
        <v>40044</v>
      </c>
      <c r="G30" s="106">
        <f>'P一般'!G30+'P原料'!G30</f>
        <v>0</v>
      </c>
      <c r="H30" s="106">
        <f>'P一般'!H30+'P原料'!H30</f>
        <v>79001</v>
      </c>
      <c r="I30" s="106">
        <f>'P一般'!I30+'P原料'!I30</f>
        <v>39505</v>
      </c>
      <c r="J30" s="108">
        <f>SUM(D30:I30)</f>
        <v>233971</v>
      </c>
      <c r="K30" s="105">
        <f>'P一般'!K30+'P原料'!K30</f>
        <v>43084</v>
      </c>
      <c r="L30" s="106">
        <f>'P一般'!L30+'P原料'!L30</f>
        <v>31077</v>
      </c>
      <c r="M30" s="106">
        <f>'P一般'!M30+'P原料'!M30</f>
        <v>76267</v>
      </c>
      <c r="N30" s="106">
        <f>'P一般'!N30+'P原料'!N30</f>
        <v>166668</v>
      </c>
      <c r="O30" s="106">
        <f>'P一般'!O30+'P原料'!O30</f>
        <v>0</v>
      </c>
      <c r="P30" s="106">
        <f>'P一般'!P30+'P原料'!P30</f>
        <v>181508</v>
      </c>
      <c r="Q30" s="108">
        <f>'P一般'!Q30+'P原料'!Q30</f>
        <v>498604</v>
      </c>
      <c r="R30" s="109">
        <f>'P一般'!R30+'P原料'!R30</f>
        <v>732575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75">
        <f aca="true" t="shared" si="16" ref="D31:I31">IF(D29=0,,D30/D29*1000)</f>
        <v>47727.509778357235</v>
      </c>
      <c r="E31" s="56">
        <f t="shared" si="16"/>
        <v>50870.249017038004</v>
      </c>
      <c r="F31" s="56">
        <f t="shared" si="16"/>
        <v>52689.47368421053</v>
      </c>
      <c r="G31" s="56">
        <f t="shared" si="16"/>
        <v>0</v>
      </c>
      <c r="H31" s="56">
        <f t="shared" si="16"/>
        <v>52562.208915502335</v>
      </c>
      <c r="I31" s="56">
        <f t="shared" si="16"/>
        <v>52324.503311258275</v>
      </c>
      <c r="J31" s="58">
        <f>IF(J29=0,,(J30/J29)*1000)</f>
        <v>51444.8109058927</v>
      </c>
      <c r="K31" s="57">
        <f aca="true" t="shared" si="17" ref="K31:R31">IF(K29=0,,K30/K29*1000)</f>
        <v>56764.163372859024</v>
      </c>
      <c r="L31" s="56">
        <f t="shared" si="17"/>
        <v>68906.87361419068</v>
      </c>
      <c r="M31" s="56">
        <f t="shared" si="17"/>
        <v>72086.011342155</v>
      </c>
      <c r="N31" s="56">
        <f t="shared" si="17"/>
        <v>80789.14202617547</v>
      </c>
      <c r="O31" s="56">
        <f t="shared" si="17"/>
        <v>0</v>
      </c>
      <c r="P31" s="57">
        <f t="shared" si="17"/>
        <v>80313.27433628318</v>
      </c>
      <c r="Q31" s="58">
        <f t="shared" si="17"/>
        <v>75649.21863146716</v>
      </c>
      <c r="R31" s="59">
        <f t="shared" si="17"/>
        <v>65766.67564413323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105">
        <f>'P一般'!D32+'P原料'!D32</f>
        <v>0</v>
      </c>
      <c r="E32" s="106">
        <f>'P一般'!E32+'P原料'!E32</f>
        <v>0</v>
      </c>
      <c r="F32" s="106">
        <f>'P一般'!F32+'P原料'!F32</f>
        <v>0</v>
      </c>
      <c r="G32" s="106">
        <f>'P一般'!G32+'P原料'!G32</f>
        <v>0</v>
      </c>
      <c r="H32" s="106">
        <f>'P一般'!H32+'P原料'!H32</f>
        <v>0</v>
      </c>
      <c r="I32" s="106">
        <f>'P一般'!I32+'P原料'!I32</f>
        <v>0</v>
      </c>
      <c r="J32" s="108">
        <f>SUM(D32:I32)</f>
        <v>0</v>
      </c>
      <c r="K32" s="105">
        <f>'P一般'!K32+'P原料'!K32</f>
        <v>0</v>
      </c>
      <c r="L32" s="106">
        <f>'P一般'!L32+'P原料'!L32</f>
        <v>0</v>
      </c>
      <c r="M32" s="106">
        <f>'P一般'!M32+'P原料'!M32</f>
        <v>0</v>
      </c>
      <c r="N32" s="106">
        <f>'P一般'!N32+'P原料'!N32</f>
        <v>0</v>
      </c>
      <c r="O32" s="106">
        <f>'P一般'!O32+'P原料'!O32</f>
        <v>0</v>
      </c>
      <c r="P32" s="106">
        <f>'P一般'!P32+'P原料'!P32</f>
        <v>0</v>
      </c>
      <c r="Q32" s="108">
        <f>'P一般'!Q32+'P原料'!Q32</f>
        <v>0</v>
      </c>
      <c r="R32" s="109">
        <f>'P一般'!R32+'P原料'!R32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105">
        <f>'P一般'!D33+'P原料'!D33</f>
        <v>0</v>
      </c>
      <c r="E33" s="106">
        <f>'P一般'!E33+'P原料'!E33</f>
        <v>0</v>
      </c>
      <c r="F33" s="106">
        <f>'P一般'!F33+'P原料'!F33</f>
        <v>0</v>
      </c>
      <c r="G33" s="106">
        <f>'P一般'!G33+'P原料'!G33</f>
        <v>0</v>
      </c>
      <c r="H33" s="106">
        <f>'P一般'!H33+'P原料'!H33</f>
        <v>0</v>
      </c>
      <c r="I33" s="106">
        <f>'P一般'!I33+'P原料'!I33</f>
        <v>0</v>
      </c>
      <c r="J33" s="108">
        <f>SUM(D33:I33)</f>
        <v>0</v>
      </c>
      <c r="K33" s="105">
        <f>'P一般'!K33+'P原料'!K33</f>
        <v>0</v>
      </c>
      <c r="L33" s="106">
        <f>'P一般'!L33+'P原料'!L33</f>
        <v>0</v>
      </c>
      <c r="M33" s="106">
        <f>'P一般'!M33+'P原料'!M33</f>
        <v>0</v>
      </c>
      <c r="N33" s="106">
        <f>'P一般'!N33+'P原料'!N33</f>
        <v>0</v>
      </c>
      <c r="O33" s="106">
        <f>'P一般'!O33+'P原料'!O33</f>
        <v>0</v>
      </c>
      <c r="P33" s="106">
        <f>'P一般'!P33+'P原料'!P33</f>
        <v>0</v>
      </c>
      <c r="Q33" s="108">
        <f>'P一般'!Q33+'P原料'!Q33</f>
        <v>0</v>
      </c>
      <c r="R33" s="109">
        <f>'P一般'!R33+'P原料'!R33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75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6">
        <f t="shared" si="18"/>
        <v>0</v>
      </c>
      <c r="J34" s="58">
        <f>IF(J32=0,,(J33/J32)*1000)</f>
        <v>0</v>
      </c>
      <c r="K34" s="57">
        <f aca="true" t="shared" si="19" ref="K34:P34">IF(K32=0,,K33/K32*1000)</f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0</v>
      </c>
      <c r="R34" s="59">
        <f>IF(R32=0,,R33/R32*1000)</f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105">
        <f>'P一般'!D35+'P原料'!D35</f>
        <v>12380</v>
      </c>
      <c r="E35" s="106">
        <f>'P一般'!E35+'P原料'!E35</f>
        <v>17575</v>
      </c>
      <c r="F35" s="106">
        <f>'P一般'!F35+'P原料'!F35</f>
        <v>43152</v>
      </c>
      <c r="G35" s="106">
        <f>'P一般'!G35+'P原料'!G35</f>
        <v>0</v>
      </c>
      <c r="H35" s="106">
        <f>'P一般'!H35+'P原料'!H35</f>
        <v>0</v>
      </c>
      <c r="I35" s="106">
        <f>'P一般'!I35+'P原料'!I35</f>
        <v>27507</v>
      </c>
      <c r="J35" s="108">
        <f>SUM(D35:I35)</f>
        <v>100614</v>
      </c>
      <c r="K35" s="105">
        <f>'P一般'!K35+'P原料'!K35</f>
        <v>570</v>
      </c>
      <c r="L35" s="106">
        <f>'P一般'!L35+'P原料'!L35</f>
        <v>0</v>
      </c>
      <c r="M35" s="106">
        <f>'P一般'!M35+'P原料'!M35</f>
        <v>0</v>
      </c>
      <c r="N35" s="106">
        <f>'P一般'!N35+'P原料'!N35</f>
        <v>32297</v>
      </c>
      <c r="O35" s="106">
        <f>'P一般'!O35+'P原料'!O35</f>
        <v>20311</v>
      </c>
      <c r="P35" s="106">
        <f>'P一般'!P35+'P原料'!P35</f>
        <v>0</v>
      </c>
      <c r="Q35" s="108">
        <f>'P一般'!Q35+'P原料'!Q35</f>
        <v>53178</v>
      </c>
      <c r="R35" s="109">
        <f>'P一般'!R35+'P原料'!R35</f>
        <v>153792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105">
        <f>'P一般'!D36+'P原料'!D36</f>
        <v>539184</v>
      </c>
      <c r="E36" s="106">
        <f>'P一般'!E36+'P原料'!E36</f>
        <v>841988</v>
      </c>
      <c r="F36" s="106">
        <f>'P一般'!F36+'P原料'!F36</f>
        <v>1992480</v>
      </c>
      <c r="G36" s="106">
        <f>'P一般'!G36+'P原料'!G36</f>
        <v>0</v>
      </c>
      <c r="H36" s="106">
        <f>'P一般'!H36+'P原料'!H36</f>
        <v>0</v>
      </c>
      <c r="I36" s="106">
        <f>'P一般'!I36+'P原料'!I36</f>
        <v>1323162</v>
      </c>
      <c r="J36" s="108">
        <f>SUM(D36:I36)</f>
        <v>4696814</v>
      </c>
      <c r="K36" s="105">
        <f>'P一般'!K36+'P原料'!K36</f>
        <v>25655</v>
      </c>
      <c r="L36" s="106">
        <f>'P一般'!L36+'P原料'!L36</f>
        <v>0</v>
      </c>
      <c r="M36" s="106">
        <f>'P一般'!M36+'P原料'!M36</f>
        <v>0</v>
      </c>
      <c r="N36" s="106">
        <f>'P一般'!N36+'P原料'!N36</f>
        <v>2098477</v>
      </c>
      <c r="O36" s="106">
        <f>'P一般'!O36+'P原料'!O36</f>
        <v>1521530</v>
      </c>
      <c r="P36" s="106">
        <f>'P一般'!P36+'P原料'!P36</f>
        <v>0</v>
      </c>
      <c r="Q36" s="108">
        <f>'P一般'!Q36+'P原料'!Q36</f>
        <v>3645662</v>
      </c>
      <c r="R36" s="109">
        <f>'P一般'!R36+'P原料'!R36</f>
        <v>8342476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75">
        <f aca="true" t="shared" si="20" ref="D37:I37">IF(D35=0,,D36/D35*1000)</f>
        <v>43552.82714054928</v>
      </c>
      <c r="E37" s="56">
        <f t="shared" si="20"/>
        <v>47908.278805120906</v>
      </c>
      <c r="F37" s="56">
        <f t="shared" si="20"/>
        <v>46173.52614015573</v>
      </c>
      <c r="G37" s="56">
        <f t="shared" si="20"/>
        <v>0</v>
      </c>
      <c r="H37" s="56">
        <f t="shared" si="20"/>
        <v>0</v>
      </c>
      <c r="I37" s="56">
        <f t="shared" si="20"/>
        <v>48102.73748500382</v>
      </c>
      <c r="J37" s="58">
        <f>IF(J35=0,,(J36/J35)*1000)</f>
        <v>46681.51549486155</v>
      </c>
      <c r="K37" s="57">
        <f aca="true" t="shared" si="21" ref="K37:P37">IF(K35=0,,K36/K35*1000)</f>
        <v>45008.771929824565</v>
      </c>
      <c r="L37" s="56">
        <f t="shared" si="21"/>
        <v>0</v>
      </c>
      <c r="M37" s="56">
        <f t="shared" si="21"/>
        <v>0</v>
      </c>
      <c r="N37" s="56">
        <f t="shared" si="21"/>
        <v>64974.36294392668</v>
      </c>
      <c r="O37" s="56">
        <f t="shared" si="21"/>
        <v>74911.62424302103</v>
      </c>
      <c r="P37" s="57">
        <f t="shared" si="21"/>
        <v>0</v>
      </c>
      <c r="Q37" s="58">
        <f>IF(Q35=0,,Q36/Q35*1000)</f>
        <v>68555.83135883261</v>
      </c>
      <c r="R37" s="59">
        <f>IF(R35=0,,R36/R35*1000)</f>
        <v>54245.18830628382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105">
        <f>'P一般'!D38+'P原料'!D38</f>
        <v>2</v>
      </c>
      <c r="E38" s="106">
        <f>'P一般'!E38+'P原料'!E38</f>
        <v>1</v>
      </c>
      <c r="F38" s="106">
        <f>'P一般'!F38+'P原料'!F38</f>
        <v>33576</v>
      </c>
      <c r="G38" s="106">
        <f>'P一般'!G38+'P原料'!G38</f>
        <v>1</v>
      </c>
      <c r="H38" s="130">
        <f>'P一般'!H38+'P原料'!H38</f>
        <v>0</v>
      </c>
      <c r="I38" s="106">
        <f>'P一般'!I38+'P原料'!I38</f>
        <v>0</v>
      </c>
      <c r="J38" s="108">
        <f>SUM(D38:I38)</f>
        <v>33580</v>
      </c>
      <c r="K38" s="105">
        <f>'P一般'!K38+'P原料'!K38</f>
        <v>3</v>
      </c>
      <c r="L38" s="106">
        <f>'P一般'!L38+'P原料'!L38</f>
        <v>1</v>
      </c>
      <c r="M38" s="106">
        <f>'P一般'!M38+'P原料'!M38</f>
        <v>0</v>
      </c>
      <c r="N38" s="106">
        <f>'P一般'!N38+'P原料'!N38</f>
        <v>1</v>
      </c>
      <c r="O38" s="106">
        <f>'P一般'!O38+'P原料'!O38</f>
        <v>11488</v>
      </c>
      <c r="P38" s="106">
        <f>'P一般'!P38+'P原料'!P38</f>
        <v>42634</v>
      </c>
      <c r="Q38" s="108">
        <f>'P一般'!Q38+'P原料'!Q38</f>
        <v>54127</v>
      </c>
      <c r="R38" s="109">
        <f>'P一般'!R38+'P原料'!R38</f>
        <v>87707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105">
        <f>'P一般'!D39+'P原料'!D39</f>
        <v>1135</v>
      </c>
      <c r="E39" s="106">
        <f>'P一般'!E39+'P原料'!E39</f>
        <v>734</v>
      </c>
      <c r="F39" s="106">
        <f>'P一般'!F39+'P原料'!F39</f>
        <v>1641651</v>
      </c>
      <c r="G39" s="106">
        <f>'P一般'!G39+'P原料'!G39</f>
        <v>1262</v>
      </c>
      <c r="H39" s="130">
        <f>'P一般'!H39+'P原料'!H39</f>
        <v>0</v>
      </c>
      <c r="I39" s="106">
        <f>'P一般'!I39+'P原料'!I39</f>
        <v>0</v>
      </c>
      <c r="J39" s="108">
        <f>SUM(D39:I39)</f>
        <v>1644782</v>
      </c>
      <c r="K39" s="105">
        <f>'P一般'!K39+'P原料'!K39</f>
        <v>2012</v>
      </c>
      <c r="L39" s="106">
        <f>'P一般'!L39+'P原料'!L39</f>
        <v>983</v>
      </c>
      <c r="M39" s="106">
        <f>'P一般'!M39+'P原料'!M39</f>
        <v>0</v>
      </c>
      <c r="N39" s="106">
        <f>'P一般'!N39+'P原料'!N39</f>
        <v>796</v>
      </c>
      <c r="O39" s="106">
        <f>'P一般'!O39+'P原料'!O39</f>
        <v>867797</v>
      </c>
      <c r="P39" s="106">
        <f>'P一般'!P39+'P原料'!P39</f>
        <v>3107310</v>
      </c>
      <c r="Q39" s="108">
        <f>'P一般'!Q39+'P原料'!Q39</f>
        <v>3978898</v>
      </c>
      <c r="R39" s="109">
        <f>'P一般'!R39+'P原料'!R39</f>
        <v>5623680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75">
        <f aca="true" t="shared" si="22" ref="D40:I40">IF(D38=0,,D39/D38*1000)</f>
        <v>567500</v>
      </c>
      <c r="E40" s="56">
        <f t="shared" si="22"/>
        <v>734000</v>
      </c>
      <c r="F40" s="56">
        <f t="shared" si="22"/>
        <v>48893.58470335954</v>
      </c>
      <c r="G40" s="56">
        <f t="shared" si="22"/>
        <v>1262000</v>
      </c>
      <c r="H40" s="129">
        <f t="shared" si="22"/>
        <v>0</v>
      </c>
      <c r="I40" s="56">
        <f t="shared" si="22"/>
        <v>0</v>
      </c>
      <c r="J40" s="58">
        <f>IF(J38=0,,(J39/J38)*1000)</f>
        <v>48981.00059559261</v>
      </c>
      <c r="K40" s="57">
        <f aca="true" t="shared" si="23" ref="K40:P40">IF(K38=0,,K39/K38*1000)</f>
        <v>670666.6666666666</v>
      </c>
      <c r="L40" s="56">
        <f t="shared" si="23"/>
        <v>983000</v>
      </c>
      <c r="M40" s="56">
        <f t="shared" si="23"/>
        <v>0</v>
      </c>
      <c r="N40" s="56">
        <f t="shared" si="23"/>
        <v>796000</v>
      </c>
      <c r="O40" s="56">
        <f t="shared" si="23"/>
        <v>75539.43245125348</v>
      </c>
      <c r="P40" s="57">
        <f t="shared" si="23"/>
        <v>72883.3794624009</v>
      </c>
      <c r="Q40" s="58">
        <f>IF(Q38=0,,Q39/Q38*1000)</f>
        <v>73510.41070075933</v>
      </c>
      <c r="R40" s="59">
        <f>IF(R38=0,,R39/R38*1000)</f>
        <v>64118.94147559488</v>
      </c>
      <c r="S40" s="60"/>
    </row>
    <row r="41" spans="1:19" s="46" customFormat="1" ht="18" customHeight="1">
      <c r="A41" s="155" t="s">
        <v>7</v>
      </c>
      <c r="B41" s="47" t="s">
        <v>26</v>
      </c>
      <c r="C41" s="77" t="s">
        <v>4</v>
      </c>
      <c r="D41" s="105">
        <f>'P一般'!D41+'P原料'!D41</f>
        <v>752766</v>
      </c>
      <c r="E41" s="106">
        <f>'P一般'!E41+'P原料'!E41</f>
        <v>874301</v>
      </c>
      <c r="F41" s="106">
        <f>'P一般'!F41+'P原料'!F41</f>
        <v>888346</v>
      </c>
      <c r="G41" s="106">
        <f>'P一般'!G41+'P原料'!G41</f>
        <v>696991</v>
      </c>
      <c r="H41" s="106">
        <f>'P一般'!H41+'P原料'!H41</f>
        <v>661217</v>
      </c>
      <c r="I41" s="106">
        <f>'P一般'!I41+'P原料'!I41</f>
        <v>736300</v>
      </c>
      <c r="J41" s="108">
        <f>SUM(D41:I41)</f>
        <v>4609921</v>
      </c>
      <c r="K41" s="105">
        <f>'P一般'!K41+'P原料'!K41</f>
        <v>627970</v>
      </c>
      <c r="L41" s="106">
        <f>'P一般'!L41+'P原料'!L41</f>
        <v>681367</v>
      </c>
      <c r="M41" s="106">
        <f>'P一般'!M41+'P原料'!M41</f>
        <v>972413</v>
      </c>
      <c r="N41" s="106">
        <f>'P一般'!N41+'P原料'!N41</f>
        <v>970417</v>
      </c>
      <c r="O41" s="106">
        <f>'P一般'!O41+'P原料'!O41</f>
        <v>992703</v>
      </c>
      <c r="P41" s="106">
        <f>'P一般'!P41+'P原料'!P41</f>
        <v>1092181</v>
      </c>
      <c r="Q41" s="108">
        <f>'P一般'!Q41+'P原料'!Q41</f>
        <v>5337051</v>
      </c>
      <c r="R41" s="109">
        <f>'P一般'!R41+'P原料'!R41</f>
        <v>9946972</v>
      </c>
      <c r="S41" s="45"/>
    </row>
    <row r="42" spans="1:19" s="46" customFormat="1" ht="18" customHeight="1">
      <c r="A42" s="153"/>
      <c r="B42" s="47" t="s">
        <v>28</v>
      </c>
      <c r="C42" s="78" t="s">
        <v>5</v>
      </c>
      <c r="D42" s="105">
        <f>'P一般'!D42+'P原料'!D42</f>
        <v>34940774</v>
      </c>
      <c r="E42" s="106">
        <f>'P一般'!E42+'P原料'!E42</f>
        <v>41926950</v>
      </c>
      <c r="F42" s="106">
        <f>'P一般'!F42+'P原料'!F42</f>
        <v>42704999</v>
      </c>
      <c r="G42" s="106">
        <f>'P一般'!G42+'P原料'!G42</f>
        <v>32945794</v>
      </c>
      <c r="H42" s="130">
        <f>'P一般'!H42+'P原料'!H42</f>
        <v>31577445</v>
      </c>
      <c r="I42" s="130">
        <f>'P一般'!I42+'P原料'!I42</f>
        <v>36019520</v>
      </c>
      <c r="J42" s="132">
        <f>SUM(D42:I42)</f>
        <v>220115482</v>
      </c>
      <c r="K42" s="140">
        <f>'P一般'!K42+'P原料'!K42</f>
        <v>33906491</v>
      </c>
      <c r="L42" s="106">
        <f>'P一般'!L42+'P原料'!L42</f>
        <v>42461970</v>
      </c>
      <c r="M42" s="106">
        <f>'P一般'!M42+'P原料'!M42</f>
        <v>65745621</v>
      </c>
      <c r="N42" s="106">
        <f>'P一般'!N42+'P原料'!N42</f>
        <v>65180502</v>
      </c>
      <c r="O42" s="106">
        <f>'P一般'!O42+'P原料'!O42</f>
        <v>73519447</v>
      </c>
      <c r="P42" s="106">
        <f>'P一般'!P42+'P原料'!P42</f>
        <v>79998337</v>
      </c>
      <c r="Q42" s="132">
        <f>'P一般'!Q42+'P原料'!Q42</f>
        <v>360812368</v>
      </c>
      <c r="R42" s="135">
        <f>'P一般'!R42+'P原料'!R42</f>
        <v>580927850</v>
      </c>
      <c r="S42" s="45"/>
    </row>
    <row r="43" spans="1:19" s="46" customFormat="1" ht="18" customHeight="1" thickBot="1">
      <c r="A43" s="161"/>
      <c r="B43" s="20" t="s">
        <v>30</v>
      </c>
      <c r="C43" s="79" t="s">
        <v>6</v>
      </c>
      <c r="D43" s="75">
        <f aca="true" t="shared" si="24" ref="D43:I43">IF(D41=0,,D42/D41*1000)</f>
        <v>46416.51456096582</v>
      </c>
      <c r="E43" s="56">
        <f t="shared" si="24"/>
        <v>47954.823338873</v>
      </c>
      <c r="F43" s="56">
        <f t="shared" si="24"/>
        <v>48072.48414469137</v>
      </c>
      <c r="G43" s="56">
        <f t="shared" si="24"/>
        <v>47268.607485605986</v>
      </c>
      <c r="H43" s="129">
        <f t="shared" si="24"/>
        <v>47756.55344614552</v>
      </c>
      <c r="I43" s="129">
        <f t="shared" si="24"/>
        <v>48919.625152790984</v>
      </c>
      <c r="J43" s="134">
        <f>IF(J41=0,,(J42/J41)*1000)</f>
        <v>47748.21130340411</v>
      </c>
      <c r="K43" s="133">
        <f aca="true" t="shared" si="25" ref="K43:P43">IF(K41=0,,K42/K41*1000)</f>
        <v>53993.8070289982</v>
      </c>
      <c r="L43" s="56">
        <f t="shared" si="25"/>
        <v>62318.79442356322</v>
      </c>
      <c r="M43" s="56">
        <f t="shared" si="25"/>
        <v>67610.8001435604</v>
      </c>
      <c r="N43" s="56">
        <f>IF(N41=0,,N42/N41*1000)</f>
        <v>67167.51870587592</v>
      </c>
      <c r="O43" s="56">
        <f t="shared" si="25"/>
        <v>74059.86181163954</v>
      </c>
      <c r="P43" s="57">
        <f t="shared" si="25"/>
        <v>73246.40970681599</v>
      </c>
      <c r="Q43" s="134">
        <f>IF(Q41=0,,Q42/Q41*1000)</f>
        <v>67605.19395448909</v>
      </c>
      <c r="R43" s="136">
        <f>IF(R41=0,,R42/R41*1000)</f>
        <v>58402.48167985192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74">
        <f>'P一般'!D44</f>
        <v>107.15</v>
      </c>
      <c r="E44" s="64">
        <f>'P一般'!E44</f>
        <v>106.02</v>
      </c>
      <c r="F44" s="64">
        <f>'P一般'!F44</f>
        <v>107.9</v>
      </c>
      <c r="G44" s="64">
        <f>'P一般'!G44</f>
        <v>110.6</v>
      </c>
      <c r="H44" s="64">
        <f>'P一般'!H44</f>
        <v>111.54</v>
      </c>
      <c r="I44" s="63">
        <f>'P一般'!I44</f>
        <v>110.21</v>
      </c>
      <c r="J44" s="62"/>
      <c r="K44" s="63">
        <f>'P一般'!K44</f>
        <v>113.34</v>
      </c>
      <c r="L44" s="64">
        <f>'P一般'!L44</f>
        <v>116.67</v>
      </c>
      <c r="M44" s="64">
        <f>'P一般'!M44</f>
        <v>119.52</v>
      </c>
      <c r="N44" s="64">
        <f>'P一般'!N44</f>
        <v>116.1</v>
      </c>
      <c r="O44" s="64">
        <f>'P一般'!O44</f>
        <v>116.92</v>
      </c>
      <c r="P44" s="63">
        <f>'P一般'!P44</f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workbookViewId="0" topLeftCell="A1">
      <pane xSplit="3" ySplit="4" topLeftCell="D20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7" t="s">
        <v>55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0</v>
      </c>
      <c r="B3" s="4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66">
        <v>62386</v>
      </c>
      <c r="E5" s="67">
        <v>64065</v>
      </c>
      <c r="F5" s="67">
        <v>94999</v>
      </c>
      <c r="G5" s="67">
        <v>85491</v>
      </c>
      <c r="H5" s="67">
        <v>60129</v>
      </c>
      <c r="I5" s="68">
        <v>82690</v>
      </c>
      <c r="J5" s="108">
        <f>SUM(D5:I5)</f>
        <v>449760</v>
      </c>
      <c r="K5" s="68">
        <v>42133</v>
      </c>
      <c r="L5" s="67">
        <v>81214</v>
      </c>
      <c r="M5" s="67">
        <v>56530</v>
      </c>
      <c r="N5" s="67">
        <v>61496</v>
      </c>
      <c r="O5" s="67">
        <v>45918</v>
      </c>
      <c r="P5" s="68">
        <v>75028</v>
      </c>
      <c r="Q5" s="108">
        <f>SUM(K5:P5)</f>
        <v>362319</v>
      </c>
      <c r="R5" s="109">
        <f>J5+Q5</f>
        <v>812079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66">
        <v>2945133</v>
      </c>
      <c r="E6" s="67">
        <v>3117327</v>
      </c>
      <c r="F6" s="67">
        <v>4576143</v>
      </c>
      <c r="G6" s="67">
        <v>4078524</v>
      </c>
      <c r="H6" s="67">
        <v>2917446</v>
      </c>
      <c r="I6" s="68">
        <v>4070188</v>
      </c>
      <c r="J6" s="108">
        <f>SUM(D6:I6)</f>
        <v>21704761</v>
      </c>
      <c r="K6" s="107">
        <v>2464398</v>
      </c>
      <c r="L6" s="106">
        <v>5441246</v>
      </c>
      <c r="M6" s="106">
        <v>4028296</v>
      </c>
      <c r="N6" s="106">
        <v>4266716</v>
      </c>
      <c r="O6" s="106">
        <v>3484850</v>
      </c>
      <c r="P6" s="107">
        <v>5507905</v>
      </c>
      <c r="Q6" s="108">
        <f>SUM(K6:P6)</f>
        <v>25193411</v>
      </c>
      <c r="R6" s="109">
        <f>J6+Q6</f>
        <v>46898172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I7">IF(D5=0,,D6/D5*1000)</f>
        <v>47208.235822139584</v>
      </c>
      <c r="E7" s="56">
        <f t="shared" si="0"/>
        <v>48658.81526574573</v>
      </c>
      <c r="F7" s="56">
        <f t="shared" si="0"/>
        <v>48170.43337298287</v>
      </c>
      <c r="G7" s="56">
        <f t="shared" si="0"/>
        <v>47707.05688318068</v>
      </c>
      <c r="H7" s="56">
        <f t="shared" si="0"/>
        <v>48519.78246769446</v>
      </c>
      <c r="I7" s="57">
        <f t="shared" si="0"/>
        <v>49222.251783770706</v>
      </c>
      <c r="J7" s="58">
        <f>(J6/J5)*1000</f>
        <v>48258.54011028104</v>
      </c>
      <c r="K7" s="57">
        <f aca="true" t="shared" si="1" ref="K7:Q7">IF(K5=0,,K6/K5*1000)</f>
        <v>58490.921605392454</v>
      </c>
      <c r="L7" s="56">
        <f t="shared" si="1"/>
        <v>66998.86719038589</v>
      </c>
      <c r="M7" s="56">
        <f t="shared" si="1"/>
        <v>71259.43746683178</v>
      </c>
      <c r="N7" s="56">
        <f t="shared" si="1"/>
        <v>69382.00858592428</v>
      </c>
      <c r="O7" s="56">
        <f t="shared" si="1"/>
        <v>75892.89603205715</v>
      </c>
      <c r="P7" s="57">
        <f t="shared" si="1"/>
        <v>73411.32643812976</v>
      </c>
      <c r="Q7" s="58">
        <f t="shared" si="1"/>
        <v>69533.78376513514</v>
      </c>
      <c r="R7" s="59">
        <f>(R6/R5)*1000</f>
        <v>57750.75085059459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66">
        <v>34912</v>
      </c>
      <c r="E8" s="67">
        <v>34915</v>
      </c>
      <c r="F8" s="67">
        <v>34964</v>
      </c>
      <c r="G8" s="67">
        <v>40538</v>
      </c>
      <c r="H8" s="67">
        <v>11685</v>
      </c>
      <c r="I8" s="68">
        <v>40705</v>
      </c>
      <c r="J8" s="108">
        <f>SUM(D8:I8)</f>
        <v>197719</v>
      </c>
      <c r="K8" s="68">
        <v>13694</v>
      </c>
      <c r="L8" s="67">
        <v>23786</v>
      </c>
      <c r="M8" s="67">
        <v>22457</v>
      </c>
      <c r="N8" s="67">
        <v>47701</v>
      </c>
      <c r="O8" s="67">
        <v>14035</v>
      </c>
      <c r="P8" s="68">
        <v>66843</v>
      </c>
      <c r="Q8" s="108">
        <f>SUM(K8:P8)</f>
        <v>188516</v>
      </c>
      <c r="R8" s="109">
        <f>J8+Q8</f>
        <v>386235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66">
        <v>1655859</v>
      </c>
      <c r="E9" s="67">
        <v>1694485</v>
      </c>
      <c r="F9" s="67">
        <v>1686981</v>
      </c>
      <c r="G9" s="67">
        <v>1945608</v>
      </c>
      <c r="H9" s="67">
        <v>578816</v>
      </c>
      <c r="I9" s="68">
        <v>2026960</v>
      </c>
      <c r="J9" s="108">
        <f>SUM(D9:I9)</f>
        <v>9588709</v>
      </c>
      <c r="K9" s="107">
        <v>768982</v>
      </c>
      <c r="L9" s="106">
        <v>1552427</v>
      </c>
      <c r="M9" s="106">
        <v>1539305</v>
      </c>
      <c r="N9" s="106">
        <v>3311933</v>
      </c>
      <c r="O9" s="106">
        <v>1108920</v>
      </c>
      <c r="P9" s="107">
        <v>5028395</v>
      </c>
      <c r="Q9" s="108">
        <f>SUM(K9:P9)</f>
        <v>13309962</v>
      </c>
      <c r="R9" s="109">
        <f>J9+Q9</f>
        <v>22898671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2" ref="D10:I10">IF(D8=0,,D9/D8*1000)</f>
        <v>47429.50847846013</v>
      </c>
      <c r="E10" s="56">
        <f t="shared" si="2"/>
        <v>48531.719891164255</v>
      </c>
      <c r="F10" s="56">
        <f t="shared" si="2"/>
        <v>48249.08477290928</v>
      </c>
      <c r="G10" s="56">
        <f t="shared" si="2"/>
        <v>47994.671666091075</v>
      </c>
      <c r="H10" s="56">
        <f t="shared" si="2"/>
        <v>49534.95934959349</v>
      </c>
      <c r="I10" s="57">
        <f t="shared" si="2"/>
        <v>49796.33951602998</v>
      </c>
      <c r="J10" s="58">
        <f>(J9/J8)*1000</f>
        <v>48496.64928509652</v>
      </c>
      <c r="K10" s="57">
        <f aca="true" t="shared" si="3" ref="K10:Q10">IF(K8=0,,K9/K8*1000)</f>
        <v>56154.66627720169</v>
      </c>
      <c r="L10" s="56">
        <f t="shared" si="3"/>
        <v>65266.41722021357</v>
      </c>
      <c r="M10" s="56">
        <f t="shared" si="3"/>
        <v>68544.55181012602</v>
      </c>
      <c r="N10" s="56">
        <f t="shared" si="3"/>
        <v>69431.1020733318</v>
      </c>
      <c r="O10" s="56">
        <f t="shared" si="3"/>
        <v>79011.04381902386</v>
      </c>
      <c r="P10" s="57">
        <f t="shared" si="3"/>
        <v>75226.94971799591</v>
      </c>
      <c r="Q10" s="58">
        <f t="shared" si="3"/>
        <v>70603.8850813724</v>
      </c>
      <c r="R10" s="59">
        <f>(R9/R8)*1000</f>
        <v>59286.88751666732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66">
        <v>23753</v>
      </c>
      <c r="E11" s="67"/>
      <c r="F11" s="67"/>
      <c r="G11" s="67"/>
      <c r="H11" s="67"/>
      <c r="I11" s="68"/>
      <c r="J11" s="108">
        <f>SUM(D11:I11)</f>
        <v>23753</v>
      </c>
      <c r="K11" s="68">
        <v>9882</v>
      </c>
      <c r="L11" s="67">
        <v>10854</v>
      </c>
      <c r="M11" s="67"/>
      <c r="N11" s="67"/>
      <c r="O11" s="67"/>
      <c r="P11" s="68">
        <v>23612</v>
      </c>
      <c r="Q11" s="108">
        <f>SUM(K11:P11)</f>
        <v>44348</v>
      </c>
      <c r="R11" s="109">
        <f>J11+Q11</f>
        <v>68101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66">
        <v>1113420</v>
      </c>
      <c r="E12" s="106"/>
      <c r="F12" s="106"/>
      <c r="G12" s="67"/>
      <c r="H12" s="106"/>
      <c r="I12" s="107"/>
      <c r="J12" s="108">
        <f>SUM(D12:I12)</f>
        <v>1113420</v>
      </c>
      <c r="K12" s="107">
        <v>537670</v>
      </c>
      <c r="L12" s="106">
        <v>609946</v>
      </c>
      <c r="M12" s="106"/>
      <c r="N12" s="106"/>
      <c r="O12" s="106"/>
      <c r="P12" s="107">
        <v>1770866</v>
      </c>
      <c r="Q12" s="108">
        <f>SUM(K12:P12)</f>
        <v>2918482</v>
      </c>
      <c r="R12" s="109">
        <f>J12+Q12</f>
        <v>4031902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4" ref="D13:I13">IF(D11=0,,D12/D11*1000)</f>
        <v>46874.92106260262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>(J12/J11)*1000</f>
        <v>46874.92106260262</v>
      </c>
      <c r="K13" s="57">
        <f aca="true" t="shared" si="5" ref="K13:Q13">IF(K11=0,,K12/K11*1000)</f>
        <v>54409.02651285165</v>
      </c>
      <c r="L13" s="56">
        <f t="shared" si="5"/>
        <v>56195.503961673116</v>
      </c>
      <c r="M13" s="56">
        <f t="shared" si="5"/>
        <v>0</v>
      </c>
      <c r="N13" s="56">
        <f t="shared" si="5"/>
        <v>0</v>
      </c>
      <c r="O13" s="56">
        <f t="shared" si="5"/>
        <v>0</v>
      </c>
      <c r="P13" s="57">
        <f t="shared" si="5"/>
        <v>74998.56005420972</v>
      </c>
      <c r="Q13" s="58">
        <f t="shared" si="5"/>
        <v>65808.64977000089</v>
      </c>
      <c r="R13" s="59">
        <f>(R12/R11)*1000</f>
        <v>59204.74001850193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66"/>
      <c r="E14" s="67"/>
      <c r="F14" s="67"/>
      <c r="G14" s="67">
        <v>11709</v>
      </c>
      <c r="H14" s="67"/>
      <c r="I14" s="68"/>
      <c r="J14" s="108">
        <f>SUM(D14:I14)</f>
        <v>11709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11709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49"/>
      <c r="E15" s="106"/>
      <c r="F15" s="106"/>
      <c r="G15" s="106">
        <v>558224</v>
      </c>
      <c r="H15" s="106"/>
      <c r="I15" s="107"/>
      <c r="J15" s="108">
        <f>SUM(D15:I15)</f>
        <v>558224</v>
      </c>
      <c r="K15" s="107"/>
      <c r="L15" s="106"/>
      <c r="M15" s="106"/>
      <c r="N15" s="106"/>
      <c r="O15" s="106"/>
      <c r="P15" s="107"/>
      <c r="Q15" s="52">
        <f>SUM(K15:P15)</f>
        <v>0</v>
      </c>
      <c r="R15" s="53">
        <f>J15+Q15</f>
        <v>558224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47674.78008369631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47674.78008369631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47674.78008369631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66">
        <v>14338</v>
      </c>
      <c r="E17" s="67">
        <v>34156</v>
      </c>
      <c r="F17" s="67"/>
      <c r="G17" s="67">
        <v>11457</v>
      </c>
      <c r="H17" s="67">
        <v>14730</v>
      </c>
      <c r="I17" s="68">
        <v>9030</v>
      </c>
      <c r="J17" s="108">
        <f>SUM(D17:I17)</f>
        <v>83711</v>
      </c>
      <c r="K17" s="68">
        <v>14750</v>
      </c>
      <c r="L17" s="67">
        <v>27874</v>
      </c>
      <c r="M17" s="67">
        <v>32088</v>
      </c>
      <c r="N17" s="67">
        <v>15113</v>
      </c>
      <c r="O17" s="67">
        <v>43335</v>
      </c>
      <c r="P17" s="68">
        <v>32857</v>
      </c>
      <c r="Q17" s="108">
        <f>SUM(K17:P17)</f>
        <v>166017</v>
      </c>
      <c r="R17" s="109">
        <f>J17+Q17</f>
        <v>249728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66">
        <v>627297</v>
      </c>
      <c r="E18" s="67">
        <v>1642553</v>
      </c>
      <c r="F18" s="67"/>
      <c r="G18" s="128">
        <v>563535</v>
      </c>
      <c r="H18" s="67">
        <v>724487</v>
      </c>
      <c r="I18" s="68">
        <v>436451</v>
      </c>
      <c r="J18" s="132">
        <f>SUM(D18:I18)</f>
        <v>3994323</v>
      </c>
      <c r="K18" s="107">
        <v>841903</v>
      </c>
      <c r="L18" s="106">
        <v>1740249</v>
      </c>
      <c r="M18" s="106">
        <v>2273513</v>
      </c>
      <c r="N18" s="106">
        <v>1129181</v>
      </c>
      <c r="O18" s="106">
        <v>3358999</v>
      </c>
      <c r="P18" s="107">
        <v>2592947</v>
      </c>
      <c r="Q18" s="108">
        <f>SUM(K18:P18)</f>
        <v>11936792</v>
      </c>
      <c r="R18" s="135">
        <f>J18+Q18</f>
        <v>15931115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8" ref="D19:I19">IF(D17=0,,D18/D17*1000)</f>
        <v>43750.66257497559</v>
      </c>
      <c r="E19" s="56">
        <f t="shared" si="8"/>
        <v>48089.735332006094</v>
      </c>
      <c r="F19" s="56">
        <f t="shared" si="8"/>
        <v>0</v>
      </c>
      <c r="G19" s="129">
        <f t="shared" si="8"/>
        <v>49186.95993715632</v>
      </c>
      <c r="H19" s="56">
        <f t="shared" si="8"/>
        <v>49184.45349626612</v>
      </c>
      <c r="I19" s="57">
        <f t="shared" si="8"/>
        <v>48333.44407530454</v>
      </c>
      <c r="J19" s="134">
        <f>(J18/J17)*1000</f>
        <v>47715.62877041249</v>
      </c>
      <c r="K19" s="57">
        <f aca="true" t="shared" si="9" ref="K19:Q19">IF(K17=0,,K18/K17*1000)</f>
        <v>57078.16949152542</v>
      </c>
      <c r="L19" s="56">
        <f t="shared" si="9"/>
        <v>62432.69713711702</v>
      </c>
      <c r="M19" s="56">
        <f t="shared" si="9"/>
        <v>70852.43704811767</v>
      </c>
      <c r="N19" s="56">
        <f t="shared" si="9"/>
        <v>74715.87375107524</v>
      </c>
      <c r="O19" s="56">
        <f t="shared" si="9"/>
        <v>77512.38029306565</v>
      </c>
      <c r="P19" s="57">
        <f t="shared" si="9"/>
        <v>78916.12137444076</v>
      </c>
      <c r="Q19" s="58">
        <f t="shared" si="9"/>
        <v>71901.02218447508</v>
      </c>
      <c r="R19" s="136">
        <f>(R18/R17)*1000</f>
        <v>63793.86772808816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66">
        <f>118750-44722</f>
        <v>74028</v>
      </c>
      <c r="E20" s="67">
        <f>61249-11686</f>
        <v>49563</v>
      </c>
      <c r="F20" s="67">
        <f>66784-20484</f>
        <v>46300</v>
      </c>
      <c r="G20" s="67">
        <v>60942</v>
      </c>
      <c r="H20" s="67">
        <f>87783-8692</f>
        <v>79091</v>
      </c>
      <c r="I20" s="68">
        <f>113362-23665</f>
        <v>89697</v>
      </c>
      <c r="J20" s="108">
        <f>SUM(D20:I20)</f>
        <v>399621</v>
      </c>
      <c r="K20" s="68">
        <v>45963</v>
      </c>
      <c r="L20" s="67">
        <f>79470-11755</f>
        <v>67715</v>
      </c>
      <c r="M20" s="67">
        <v>131843</v>
      </c>
      <c r="N20" s="67">
        <f>154067-23609</f>
        <v>130458</v>
      </c>
      <c r="O20" s="67">
        <f>63125-11827</f>
        <v>51298</v>
      </c>
      <c r="P20" s="68">
        <v>178379</v>
      </c>
      <c r="Q20" s="108">
        <f>SUM(K20:P20)</f>
        <v>605656</v>
      </c>
      <c r="R20" s="109">
        <f>J20+Q20</f>
        <v>1005277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66">
        <f>4578720-1403804</f>
        <v>3174916</v>
      </c>
      <c r="E21" s="67">
        <f>2709368-389840</f>
        <v>2319528</v>
      </c>
      <c r="F21" s="67">
        <f>2835932-649933</f>
        <v>2185999</v>
      </c>
      <c r="G21" s="67">
        <v>2930502</v>
      </c>
      <c r="H21" s="67">
        <f>3592645-301123</f>
        <v>3291522</v>
      </c>
      <c r="I21" s="68">
        <f>5233745-855180</f>
        <v>4378565</v>
      </c>
      <c r="J21" s="108">
        <f>SUM(D21:I21)</f>
        <v>18281032</v>
      </c>
      <c r="K21" s="107">
        <v>2629704</v>
      </c>
      <c r="L21" s="106">
        <f>4763623-541838</f>
        <v>4221785</v>
      </c>
      <c r="M21" s="106">
        <v>9356793</v>
      </c>
      <c r="N21" s="106">
        <f>9903565-841730</f>
        <v>9061835</v>
      </c>
      <c r="O21" s="106">
        <f>4236095-409131</f>
        <v>3826964</v>
      </c>
      <c r="P21" s="107">
        <v>12125071</v>
      </c>
      <c r="Q21" s="108">
        <f>SUM(K21:P21)</f>
        <v>41222152</v>
      </c>
      <c r="R21" s="109">
        <f>J21+Q21</f>
        <v>59503184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10" ref="D22:I22">IF(D20=0,,D21/D20*1000)</f>
        <v>42888.042362349384</v>
      </c>
      <c r="E22" s="56">
        <f t="shared" si="10"/>
        <v>46799.58840263907</v>
      </c>
      <c r="F22" s="56">
        <f t="shared" si="10"/>
        <v>47213.80129589633</v>
      </c>
      <c r="G22" s="56">
        <f t="shared" si="10"/>
        <v>48086.73821010141</v>
      </c>
      <c r="H22" s="56">
        <f t="shared" si="10"/>
        <v>41616.89699207242</v>
      </c>
      <c r="I22" s="57">
        <f t="shared" si="10"/>
        <v>48815.06627869383</v>
      </c>
      <c r="J22" s="58">
        <f>(J21/J20)*1000</f>
        <v>45745.924263239416</v>
      </c>
      <c r="K22" s="57">
        <f aca="true" t="shared" si="11" ref="K22:Q22">IF(K20=0,,K21/K20*1000)</f>
        <v>57213.49781345865</v>
      </c>
      <c r="L22" s="56">
        <f t="shared" si="11"/>
        <v>62346.37820276157</v>
      </c>
      <c r="M22" s="56">
        <f t="shared" si="11"/>
        <v>70969.20579780496</v>
      </c>
      <c r="N22" s="56">
        <f t="shared" si="11"/>
        <v>69461.70414999464</v>
      </c>
      <c r="O22" s="56">
        <f t="shared" si="11"/>
        <v>74602.59659245974</v>
      </c>
      <c r="P22" s="57">
        <f t="shared" si="11"/>
        <v>67973.6460009306</v>
      </c>
      <c r="Q22" s="58">
        <f t="shared" si="11"/>
        <v>68061.98898384561</v>
      </c>
      <c r="R22" s="59">
        <f>(R21/R20)*1000</f>
        <v>59190.83396914483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66">
        <v>18571</v>
      </c>
      <c r="E23" s="67">
        <v>46938</v>
      </c>
      <c r="F23" s="67">
        <v>42835</v>
      </c>
      <c r="G23" s="67">
        <v>56564</v>
      </c>
      <c r="H23" s="67">
        <v>33995</v>
      </c>
      <c r="I23" s="68">
        <v>25232</v>
      </c>
      <c r="J23" s="108">
        <f>SUM(D23:I23)</f>
        <v>224135</v>
      </c>
      <c r="K23" s="68">
        <v>72826</v>
      </c>
      <c r="L23" s="67">
        <v>33140</v>
      </c>
      <c r="M23" s="67">
        <v>54431</v>
      </c>
      <c r="N23" s="67">
        <v>22235</v>
      </c>
      <c r="O23" s="67">
        <v>59765</v>
      </c>
      <c r="P23" s="68">
        <v>58657</v>
      </c>
      <c r="Q23" s="108">
        <f>SUM(K23:P23)</f>
        <v>301054</v>
      </c>
      <c r="R23" s="109">
        <f>J23+Q23</f>
        <v>525189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66">
        <v>916127</v>
      </c>
      <c r="E24" s="67">
        <v>2247873</v>
      </c>
      <c r="F24" s="67">
        <v>2120398</v>
      </c>
      <c r="G24" s="67">
        <v>2739632</v>
      </c>
      <c r="H24" s="67">
        <v>1666558</v>
      </c>
      <c r="I24" s="68">
        <v>1252071</v>
      </c>
      <c r="J24" s="108">
        <f>SUM(D24:I24)</f>
        <v>10942659</v>
      </c>
      <c r="K24" s="107">
        <v>4296926</v>
      </c>
      <c r="L24" s="106">
        <v>2155892</v>
      </c>
      <c r="M24" s="106">
        <v>3829106</v>
      </c>
      <c r="N24" s="106">
        <v>1498320</v>
      </c>
      <c r="O24" s="106">
        <v>4619660</v>
      </c>
      <c r="P24" s="107">
        <v>4451085</v>
      </c>
      <c r="Q24" s="108">
        <f>SUM(K24:P24)</f>
        <v>20850989</v>
      </c>
      <c r="R24" s="109">
        <f>J24+Q24</f>
        <v>31793648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12" ref="D25:I25">IF(D23=0,,D24/D23*1000)</f>
        <v>49331.05379354908</v>
      </c>
      <c r="E25" s="56">
        <f t="shared" si="12"/>
        <v>47890.25949124377</v>
      </c>
      <c r="F25" s="56">
        <f t="shared" si="12"/>
        <v>49501.52912338042</v>
      </c>
      <c r="G25" s="56">
        <f t="shared" si="12"/>
        <v>48434.19843009688</v>
      </c>
      <c r="H25" s="56">
        <f t="shared" si="12"/>
        <v>49023.62112075305</v>
      </c>
      <c r="I25" s="57">
        <f t="shared" si="12"/>
        <v>49622.34464172479</v>
      </c>
      <c r="J25" s="58">
        <f>(J24/J23)*1000</f>
        <v>48821.73243803957</v>
      </c>
      <c r="K25" s="57">
        <f aca="true" t="shared" si="13" ref="K25:Q25">IF(K23=0,,K24/K23*1000)</f>
        <v>59002.636421058414</v>
      </c>
      <c r="L25" s="56">
        <f t="shared" si="13"/>
        <v>65054.073627036814</v>
      </c>
      <c r="M25" s="56">
        <f t="shared" si="13"/>
        <v>70347.8899891606</v>
      </c>
      <c r="N25" s="56">
        <f t="shared" si="13"/>
        <v>67385.6532493816</v>
      </c>
      <c r="O25" s="56">
        <f t="shared" si="13"/>
        <v>77297.08023090436</v>
      </c>
      <c r="P25" s="57">
        <f t="shared" si="13"/>
        <v>75883.27053889561</v>
      </c>
      <c r="Q25" s="58">
        <f t="shared" si="13"/>
        <v>69259.96332883801</v>
      </c>
      <c r="R25" s="59">
        <f>(R24/R23)*1000</f>
        <v>60537.53601084562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66">
        <v>19401</v>
      </c>
      <c r="E26" s="67">
        <v>11976</v>
      </c>
      <c r="F26" s="67">
        <v>17710</v>
      </c>
      <c r="G26" s="67">
        <v>21944</v>
      </c>
      <c r="H26" s="67">
        <v>11650</v>
      </c>
      <c r="I26" s="68">
        <v>20515</v>
      </c>
      <c r="J26" s="108">
        <f>SUM(D26:I26)</f>
        <v>103196</v>
      </c>
      <c r="K26" s="68">
        <v>18082</v>
      </c>
      <c r="L26" s="67">
        <v>11895</v>
      </c>
      <c r="M26" s="67">
        <v>44420</v>
      </c>
      <c r="N26" s="67">
        <v>35461</v>
      </c>
      <c r="O26" s="67">
        <v>7551</v>
      </c>
      <c r="P26" s="68"/>
      <c r="Q26" s="108">
        <f>SUM(K26:P26)</f>
        <v>117409</v>
      </c>
      <c r="R26" s="109">
        <f>J26+Q26</f>
        <v>220605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66">
        <v>939561</v>
      </c>
      <c r="E27" s="67">
        <v>568690</v>
      </c>
      <c r="F27" s="67">
        <v>891908</v>
      </c>
      <c r="G27" s="67">
        <v>1052695</v>
      </c>
      <c r="H27" s="67">
        <v>562258</v>
      </c>
      <c r="I27" s="68">
        <v>1169464</v>
      </c>
      <c r="J27" s="108">
        <f>SUM(D27:I27)</f>
        <v>5184576</v>
      </c>
      <c r="K27" s="107">
        <v>928018</v>
      </c>
      <c r="L27" s="106">
        <v>767098</v>
      </c>
      <c r="M27" s="106">
        <v>3087798</v>
      </c>
      <c r="N27" s="106">
        <v>2519334</v>
      </c>
      <c r="O27" s="106">
        <v>514385</v>
      </c>
      <c r="P27" s="107"/>
      <c r="Q27" s="108">
        <f>SUM(K27:P27)</f>
        <v>7816633</v>
      </c>
      <c r="R27" s="109">
        <f>J27+Q27</f>
        <v>13001209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14" ref="D28:I28">IF(D26=0,,D27/D26*1000)</f>
        <v>48428.4830678831</v>
      </c>
      <c r="E28" s="56">
        <f t="shared" si="14"/>
        <v>47485.80494321977</v>
      </c>
      <c r="F28" s="56">
        <f t="shared" si="14"/>
        <v>50361.82947487295</v>
      </c>
      <c r="G28" s="56">
        <f t="shared" si="14"/>
        <v>47971.88297484506</v>
      </c>
      <c r="H28" s="56">
        <f t="shared" si="14"/>
        <v>48262.48927038627</v>
      </c>
      <c r="I28" s="57">
        <f t="shared" si="14"/>
        <v>57005.31318547404</v>
      </c>
      <c r="J28" s="58">
        <f>(J27/J26)*1000</f>
        <v>50240.08682507074</v>
      </c>
      <c r="K28" s="57">
        <f aca="true" t="shared" si="15" ref="K28:Q28">IF(K26=0,,K27/K26*1000)</f>
        <v>51322.75190797479</v>
      </c>
      <c r="L28" s="56">
        <f t="shared" si="15"/>
        <v>64489.113072719636</v>
      </c>
      <c r="M28" s="56">
        <f t="shared" si="15"/>
        <v>69513.68752814048</v>
      </c>
      <c r="N28" s="56">
        <f t="shared" si="15"/>
        <v>71045.20459095908</v>
      </c>
      <c r="O28" s="56">
        <f t="shared" si="15"/>
        <v>68121.4408687591</v>
      </c>
      <c r="P28" s="57">
        <f t="shared" si="15"/>
        <v>0</v>
      </c>
      <c r="Q28" s="58">
        <f t="shared" si="15"/>
        <v>66576.09723275047</v>
      </c>
      <c r="R28" s="59">
        <f>(R27/R26)*1000</f>
        <v>58934.335123863915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66">
        <v>428</v>
      </c>
      <c r="E29" s="67">
        <v>347</v>
      </c>
      <c r="F29" s="67">
        <v>350</v>
      </c>
      <c r="G29" s="67">
        <v>476</v>
      </c>
      <c r="H29" s="67">
        <v>665</v>
      </c>
      <c r="I29" s="68">
        <v>1112</v>
      </c>
      <c r="J29" s="108">
        <f>SUM(D29:I29)</f>
        <v>3378</v>
      </c>
      <c r="K29" s="68">
        <v>1611</v>
      </c>
      <c r="L29" s="67">
        <v>2305</v>
      </c>
      <c r="M29" s="67">
        <v>2044</v>
      </c>
      <c r="N29" s="67">
        <v>1658</v>
      </c>
      <c r="O29" s="67">
        <v>901</v>
      </c>
      <c r="P29" s="68">
        <v>418</v>
      </c>
      <c r="Q29" s="108">
        <f>SUM(K29:P29)</f>
        <v>8937</v>
      </c>
      <c r="R29" s="109">
        <f>J29+Q29</f>
        <v>12315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66">
        <v>92317</v>
      </c>
      <c r="E30" s="67">
        <v>75706</v>
      </c>
      <c r="F30" s="67">
        <v>74444</v>
      </c>
      <c r="G30" s="67">
        <v>101291</v>
      </c>
      <c r="H30" s="67">
        <v>141617</v>
      </c>
      <c r="I30" s="68">
        <v>236773</v>
      </c>
      <c r="J30" s="108">
        <f>SUM(D30:I30)</f>
        <v>722148</v>
      </c>
      <c r="K30" s="107">
        <v>352870</v>
      </c>
      <c r="L30" s="106">
        <v>509842</v>
      </c>
      <c r="M30" s="106">
        <v>462464</v>
      </c>
      <c r="N30" s="106">
        <v>361906</v>
      </c>
      <c r="O30" s="106">
        <v>198080</v>
      </c>
      <c r="P30" s="107">
        <v>99710</v>
      </c>
      <c r="Q30" s="108">
        <f>SUM(K30:P30)</f>
        <v>1984872</v>
      </c>
      <c r="R30" s="109">
        <f>J30+Q30</f>
        <v>2707020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16" ref="D31:I31">IF(D29=0,,D30/D29*1000)</f>
        <v>215693.92523364484</v>
      </c>
      <c r="E31" s="56">
        <f t="shared" si="16"/>
        <v>218172.9106628242</v>
      </c>
      <c r="F31" s="56">
        <f t="shared" si="16"/>
        <v>212697.14285714287</v>
      </c>
      <c r="G31" s="56">
        <f t="shared" si="16"/>
        <v>212796.21848739494</v>
      </c>
      <c r="H31" s="56">
        <f t="shared" si="16"/>
        <v>212957.8947368421</v>
      </c>
      <c r="I31" s="57">
        <f t="shared" si="16"/>
        <v>212925.35971223022</v>
      </c>
      <c r="J31" s="58">
        <f>(J30/J29)*1000</f>
        <v>213779.7513321492</v>
      </c>
      <c r="K31" s="57">
        <f aca="true" t="shared" si="17" ref="K31:Q31">IF(K29=0,,K30/K29*1000)</f>
        <v>219037.86468032276</v>
      </c>
      <c r="L31" s="56">
        <f t="shared" si="17"/>
        <v>221189.5878524946</v>
      </c>
      <c r="M31" s="56">
        <f t="shared" si="17"/>
        <v>226254.40313111545</v>
      </c>
      <c r="N31" s="56">
        <f t="shared" si="17"/>
        <v>218278.64897466826</v>
      </c>
      <c r="O31" s="56">
        <f t="shared" si="17"/>
        <v>219844.61709211988</v>
      </c>
      <c r="P31" s="57">
        <f t="shared" si="17"/>
        <v>238540.6698564593</v>
      </c>
      <c r="Q31" s="58">
        <f t="shared" si="17"/>
        <v>222096.00537092984</v>
      </c>
      <c r="R31" s="59">
        <f>(R30/R29)*1000</f>
        <v>219814.85992691838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105"/>
      <c r="E33" s="106"/>
      <c r="F33" s="106"/>
      <c r="G33" s="106"/>
      <c r="H33" s="106"/>
      <c r="I33" s="107"/>
      <c r="J33" s="52">
        <f>SUM(D33:I33)</f>
        <v>0</v>
      </c>
      <c r="K33" s="107"/>
      <c r="L33" s="106"/>
      <c r="M33" s="106"/>
      <c r="N33" s="106"/>
      <c r="O33" s="106"/>
      <c r="P33" s="107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7">
        <f t="shared" si="18"/>
        <v>0</v>
      </c>
      <c r="J34" s="58">
        <f aca="true" t="shared" si="19" ref="J34:R34">IF(J32=0,,J33/J32*1000)</f>
        <v>0</v>
      </c>
      <c r="K34" s="57">
        <f t="shared" si="19"/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66">
        <v>11872</v>
      </c>
      <c r="E35" s="67"/>
      <c r="F35" s="67">
        <v>9946</v>
      </c>
      <c r="G35" s="67"/>
      <c r="H35" s="67"/>
      <c r="I35" s="68">
        <v>11664</v>
      </c>
      <c r="J35" s="108">
        <f>SUM(D35:I35)</f>
        <v>33482</v>
      </c>
      <c r="K35" s="68"/>
      <c r="L35" s="67"/>
      <c r="M35" s="67"/>
      <c r="N35" s="67">
        <v>11858</v>
      </c>
      <c r="O35" s="67"/>
      <c r="P35" s="68"/>
      <c r="Q35" s="108">
        <f>SUM(K35:P35)</f>
        <v>11858</v>
      </c>
      <c r="R35" s="109">
        <f>J35+Q35</f>
        <v>45340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105">
        <v>524001</v>
      </c>
      <c r="E36" s="67"/>
      <c r="F36" s="106">
        <v>458760</v>
      </c>
      <c r="G36" s="106"/>
      <c r="H36" s="106"/>
      <c r="I36" s="107">
        <v>587836</v>
      </c>
      <c r="J36" s="108">
        <f>SUM(D36:I36)</f>
        <v>1570597</v>
      </c>
      <c r="K36" s="107"/>
      <c r="L36" s="106"/>
      <c r="M36" s="106"/>
      <c r="N36" s="106">
        <v>798532</v>
      </c>
      <c r="O36" s="106"/>
      <c r="P36" s="107"/>
      <c r="Q36" s="108">
        <f>SUM(K36:P36)</f>
        <v>798532</v>
      </c>
      <c r="R36" s="109">
        <f>J36+Q36</f>
        <v>2369129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 aca="true" t="shared" si="20" ref="D37:I37">IF(D35=0,,D36/D35*1000)</f>
        <v>44137.55053908355</v>
      </c>
      <c r="E37" s="56">
        <f t="shared" si="20"/>
        <v>0</v>
      </c>
      <c r="F37" s="56">
        <f t="shared" si="20"/>
        <v>46125.07540719887</v>
      </c>
      <c r="G37" s="56">
        <f t="shared" si="20"/>
        <v>0</v>
      </c>
      <c r="H37" s="56">
        <f t="shared" si="20"/>
        <v>0</v>
      </c>
      <c r="I37" s="57">
        <f t="shared" si="20"/>
        <v>50397.4622770919</v>
      </c>
      <c r="J37" s="58">
        <f aca="true" t="shared" si="21" ref="J37:P37">IF(J35=0,,J36/J35*1000)</f>
        <v>46908.69721044143</v>
      </c>
      <c r="K37" s="57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67341.20425029517</v>
      </c>
      <c r="O37" s="56">
        <f t="shared" si="21"/>
        <v>0</v>
      </c>
      <c r="P37" s="57">
        <f t="shared" si="21"/>
        <v>0</v>
      </c>
      <c r="Q37" s="58">
        <f>IF(Q35=0,,Q36/Q35*1000)</f>
        <v>67341.20425029517</v>
      </c>
      <c r="R37" s="59">
        <f>IF(R35=0,,R36/R35*1000)</f>
        <v>52252.514336127046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66">
        <f>73+1</f>
        <v>74</v>
      </c>
      <c r="E38" s="67">
        <v>109</v>
      </c>
      <c r="F38" s="67">
        <f>167+1+12565</f>
        <v>12733</v>
      </c>
      <c r="G38" s="67">
        <f>92+13</f>
        <v>105</v>
      </c>
      <c r="H38" s="67">
        <f>167+14704</f>
        <v>14871</v>
      </c>
      <c r="I38" s="68">
        <f>181+1+18048</f>
        <v>18230</v>
      </c>
      <c r="J38" s="108">
        <f>SUM(D38:I38)</f>
        <v>46122</v>
      </c>
      <c r="K38" s="68">
        <f>276+3</f>
        <v>279</v>
      </c>
      <c r="L38" s="67">
        <f>165+2</f>
        <v>167</v>
      </c>
      <c r="M38" s="67">
        <f>77+1</f>
        <v>78</v>
      </c>
      <c r="N38" s="67">
        <f>114+3</f>
        <v>117</v>
      </c>
      <c r="O38" s="67">
        <f>26+1+1+33472</f>
        <v>33500</v>
      </c>
      <c r="P38" s="68">
        <v>12170</v>
      </c>
      <c r="Q38" s="108">
        <f>SUM(K38:P38)</f>
        <v>46311</v>
      </c>
      <c r="R38" s="109">
        <f>J38+Q38</f>
        <v>92433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66">
        <f>18981+1754+21987+273</f>
        <v>42995</v>
      </c>
      <c r="E39" s="67">
        <f>35041+6798+657</f>
        <v>42496</v>
      </c>
      <c r="F39" s="67">
        <f>44324+18889+652+626039</f>
        <v>689904</v>
      </c>
      <c r="G39" s="67">
        <f>31807+5514+2109+2104</f>
        <v>41534</v>
      </c>
      <c r="H39" s="67">
        <f>49784+12324+673664</f>
        <v>735772</v>
      </c>
      <c r="I39" s="68">
        <f>51816+2034+7074+726+1419+840610</f>
        <v>903679</v>
      </c>
      <c r="J39" s="108">
        <f>SUM(D39:I39)</f>
        <v>2456380</v>
      </c>
      <c r="K39" s="107">
        <f>72753+23860</f>
        <v>96613</v>
      </c>
      <c r="L39" s="106">
        <f>55357+2063+22862+858</f>
        <v>81140</v>
      </c>
      <c r="M39" s="106">
        <f>28863+20450+2462</f>
        <v>51775</v>
      </c>
      <c r="N39" s="106">
        <f>45749+22628</f>
        <v>68377</v>
      </c>
      <c r="O39" s="106">
        <f>10024+10173+2248+2662980</f>
        <v>2685425</v>
      </c>
      <c r="P39" s="107">
        <v>905368</v>
      </c>
      <c r="Q39" s="108">
        <f>SUM(K39:P39)</f>
        <v>3888698</v>
      </c>
      <c r="R39" s="109">
        <f>J39+Q39</f>
        <v>6345078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65">
        <f aca="true" t="shared" si="22" ref="D40:I40">IF(D38=0,,D39/D38*1000)</f>
        <v>581013.5135135135</v>
      </c>
      <c r="E40" s="56">
        <f t="shared" si="22"/>
        <v>389871.55963302753</v>
      </c>
      <c r="F40" s="56">
        <f t="shared" si="22"/>
        <v>54182.36079478521</v>
      </c>
      <c r="G40" s="56">
        <f t="shared" si="22"/>
        <v>395561.9047619048</v>
      </c>
      <c r="H40" s="56">
        <f t="shared" si="22"/>
        <v>49476.9685965974</v>
      </c>
      <c r="I40" s="57">
        <f t="shared" si="22"/>
        <v>49570.98189797038</v>
      </c>
      <c r="J40" s="58">
        <f>(J39/J38)*1000</f>
        <v>53258.31490395039</v>
      </c>
      <c r="K40" s="57">
        <f aca="true" t="shared" si="23" ref="K40:Q40">IF(K38=0,,K39/K38*1000)</f>
        <v>346283.1541218638</v>
      </c>
      <c r="L40" s="56">
        <f t="shared" si="23"/>
        <v>485868.2634730539</v>
      </c>
      <c r="M40" s="56">
        <f t="shared" si="23"/>
        <v>663782.0512820513</v>
      </c>
      <c r="N40" s="56">
        <f t="shared" si="23"/>
        <v>584418.8034188035</v>
      </c>
      <c r="O40" s="56">
        <f t="shared" si="23"/>
        <v>80161.94029850746</v>
      </c>
      <c r="P40" s="57">
        <f t="shared" si="23"/>
        <v>74393.42645850452</v>
      </c>
      <c r="Q40" s="58">
        <f t="shared" si="23"/>
        <v>83969.2081794822</v>
      </c>
      <c r="R40" s="59">
        <f>(R39/R38)*1000</f>
        <v>68645.15919639089</v>
      </c>
      <c r="S40" s="6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 aca="true" t="shared" si="24" ref="D41:I42">D5+D8+D11+D14+D17+D20+D23+D26+D29+D32+D35+D38</f>
        <v>259763</v>
      </c>
      <c r="E41" s="106">
        <f t="shared" si="24"/>
        <v>242069</v>
      </c>
      <c r="F41" s="106">
        <f t="shared" si="24"/>
        <v>259837</v>
      </c>
      <c r="G41" s="106">
        <f t="shared" si="24"/>
        <v>289226</v>
      </c>
      <c r="H41" s="106">
        <f t="shared" si="24"/>
        <v>226816</v>
      </c>
      <c r="I41" s="107">
        <f t="shared" si="24"/>
        <v>298875</v>
      </c>
      <c r="J41" s="108">
        <f>SUM(D41:I41)</f>
        <v>1576586</v>
      </c>
      <c r="K41" s="107">
        <f aca="true" t="shared" si="25" ref="K41:P42">K5+K8+K11+K14+K17+K20+K23+K26+K29+K32+K35+K38</f>
        <v>219220</v>
      </c>
      <c r="L41" s="106">
        <f t="shared" si="25"/>
        <v>258950</v>
      </c>
      <c r="M41" s="106">
        <f t="shared" si="25"/>
        <v>343891</v>
      </c>
      <c r="N41" s="106">
        <f t="shared" si="25"/>
        <v>326097</v>
      </c>
      <c r="O41" s="106">
        <f t="shared" si="25"/>
        <v>256303</v>
      </c>
      <c r="P41" s="107">
        <f t="shared" si="25"/>
        <v>447964</v>
      </c>
      <c r="Q41" s="108">
        <f>SUM(K41:P41)</f>
        <v>1852425</v>
      </c>
      <c r="R41" s="109">
        <f>J41+Q41</f>
        <v>3429011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66">
        <f t="shared" si="24"/>
        <v>12031626</v>
      </c>
      <c r="E42" s="106">
        <f t="shared" si="24"/>
        <v>11708658</v>
      </c>
      <c r="F42" s="106">
        <f t="shared" si="24"/>
        <v>12684537</v>
      </c>
      <c r="G42" s="128">
        <f t="shared" si="24"/>
        <v>14011545</v>
      </c>
      <c r="H42" s="67">
        <f t="shared" si="24"/>
        <v>10618476</v>
      </c>
      <c r="I42" s="107">
        <f>I6+I9+I12+I15+I18+I21+I24+I27+I30+I33+I36+I39</f>
        <v>15061987</v>
      </c>
      <c r="J42" s="132">
        <f>SUM(D42:I42)</f>
        <v>76116829</v>
      </c>
      <c r="K42" s="107">
        <f t="shared" si="25"/>
        <v>12917084</v>
      </c>
      <c r="L42" s="106">
        <f t="shared" si="25"/>
        <v>17079625</v>
      </c>
      <c r="M42" s="106">
        <f t="shared" si="25"/>
        <v>24629050</v>
      </c>
      <c r="N42" s="106">
        <f t="shared" si="25"/>
        <v>23016134</v>
      </c>
      <c r="O42" s="106">
        <f t="shared" si="25"/>
        <v>19797283</v>
      </c>
      <c r="P42" s="107">
        <f t="shared" si="25"/>
        <v>32481347</v>
      </c>
      <c r="Q42" s="108">
        <f>SUM(K42:P42)</f>
        <v>129920523</v>
      </c>
      <c r="R42" s="135">
        <f>J42+Q42</f>
        <v>206037352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26" ref="D43:I43">IF(D41=0,,D42/D41*1000)</f>
        <v>46317.70498492857</v>
      </c>
      <c r="E43" s="56">
        <f t="shared" si="26"/>
        <v>48369.093109815796</v>
      </c>
      <c r="F43" s="56">
        <f t="shared" si="26"/>
        <v>48817.285452033386</v>
      </c>
      <c r="G43" s="129">
        <f t="shared" si="26"/>
        <v>48444.970369192255</v>
      </c>
      <c r="H43" s="56">
        <f t="shared" si="26"/>
        <v>46815.37457674943</v>
      </c>
      <c r="I43" s="57">
        <f t="shared" si="26"/>
        <v>50395.60685905479</v>
      </c>
      <c r="J43" s="134">
        <f>(J42/J41)*1000</f>
        <v>48279.52867778859</v>
      </c>
      <c r="K43" s="57">
        <f aca="true" t="shared" si="27" ref="K43:Q43">IF(K41=0,,K42/K41*1000)</f>
        <v>58922.926740260926</v>
      </c>
      <c r="L43" s="56">
        <f t="shared" si="27"/>
        <v>65957.23112569995</v>
      </c>
      <c r="M43" s="56">
        <f t="shared" si="27"/>
        <v>71618.76873776865</v>
      </c>
      <c r="N43" s="56">
        <f t="shared" si="27"/>
        <v>70580.63704971221</v>
      </c>
      <c r="O43" s="56">
        <f t="shared" si="27"/>
        <v>77241.71390892811</v>
      </c>
      <c r="P43" s="57">
        <f t="shared" si="27"/>
        <v>72508.8332991044</v>
      </c>
      <c r="Q43" s="58">
        <f t="shared" si="27"/>
        <v>70135.37552127616</v>
      </c>
      <c r="R43" s="136">
        <f>(R42/R41)*1000</f>
        <v>60086.524073559405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85">
        <v>107.15</v>
      </c>
      <c r="E44" s="86">
        <v>106.02</v>
      </c>
      <c r="F44" s="127">
        <v>107.9</v>
      </c>
      <c r="G44" s="87">
        <v>110.6</v>
      </c>
      <c r="H44" s="87">
        <v>111.54</v>
      </c>
      <c r="I44" s="61">
        <v>110.21</v>
      </c>
      <c r="J44" s="62"/>
      <c r="K44" s="63">
        <v>113.34</v>
      </c>
      <c r="L44" s="112">
        <v>116.67</v>
      </c>
      <c r="M44" s="64">
        <v>119.52</v>
      </c>
      <c r="N44" s="64">
        <v>116.1</v>
      </c>
      <c r="O44" s="87">
        <v>116.92</v>
      </c>
      <c r="P44" s="88"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workbookViewId="0" topLeftCell="A1">
      <pane xSplit="3" ySplit="4" topLeftCell="D17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7" t="s">
        <v>55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8</v>
      </c>
      <c r="B3" s="4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66"/>
      <c r="E5" s="67">
        <v>10064</v>
      </c>
      <c r="F5" s="67">
        <v>560</v>
      </c>
      <c r="G5" s="67"/>
      <c r="H5" s="67">
        <v>22531</v>
      </c>
      <c r="I5" s="68"/>
      <c r="J5" s="108">
        <f>SUM(D5:I5)</f>
        <v>33155</v>
      </c>
      <c r="K5" s="68">
        <v>19192</v>
      </c>
      <c r="L5" s="67"/>
      <c r="M5" s="67"/>
      <c r="N5" s="67"/>
      <c r="O5" s="67">
        <v>4500</v>
      </c>
      <c r="P5" s="68">
        <v>6000</v>
      </c>
      <c r="Q5" s="108">
        <f>SUM(K5:P5)</f>
        <v>29692</v>
      </c>
      <c r="R5" s="109">
        <f>Q5+J5</f>
        <v>62847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66"/>
      <c r="E6" s="67">
        <v>487668</v>
      </c>
      <c r="F6" s="67">
        <v>26775</v>
      </c>
      <c r="G6" s="67"/>
      <c r="H6" s="67">
        <v>1101808</v>
      </c>
      <c r="I6" s="68"/>
      <c r="J6" s="108">
        <f>SUM(D6:I6)</f>
        <v>1616251</v>
      </c>
      <c r="K6" s="68">
        <v>1103200</v>
      </c>
      <c r="L6" s="67"/>
      <c r="M6" s="67"/>
      <c r="N6" s="67"/>
      <c r="O6" s="67">
        <v>359914</v>
      </c>
      <c r="P6" s="68">
        <v>406239</v>
      </c>
      <c r="Q6" s="108">
        <f>SUM(K6:P6)</f>
        <v>1869353</v>
      </c>
      <c r="R6" s="109">
        <f>Q6+J6</f>
        <v>3485604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I7">IF(D5=0,,D6/D5*1000)</f>
        <v>0</v>
      </c>
      <c r="E7" s="56">
        <f t="shared" si="0"/>
        <v>48456.677265500795</v>
      </c>
      <c r="F7" s="56">
        <f t="shared" si="0"/>
        <v>47812.5</v>
      </c>
      <c r="G7" s="56">
        <f t="shared" si="0"/>
        <v>0</v>
      </c>
      <c r="H7" s="56">
        <f t="shared" si="0"/>
        <v>48901.86853668279</v>
      </c>
      <c r="I7" s="57">
        <f t="shared" si="0"/>
        <v>0</v>
      </c>
      <c r="J7" s="58">
        <f aca="true" t="shared" si="1" ref="J7:P7">IF(J5=0,,J6/J5*1000)</f>
        <v>48748.33358467803</v>
      </c>
      <c r="K7" s="57">
        <f t="shared" si="1"/>
        <v>57482.2842851188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79980.88888888889</v>
      </c>
      <c r="P7" s="57">
        <f t="shared" si="1"/>
        <v>67706.5</v>
      </c>
      <c r="Q7" s="58">
        <f>IF(Q5=0,,Q6/Q5*1000)</f>
        <v>62958.136871884686</v>
      </c>
      <c r="R7" s="59">
        <f>IF(R5=0,,R6/R5*1000)</f>
        <v>55461.740417203684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49"/>
      <c r="E8" s="67"/>
      <c r="F8" s="106"/>
      <c r="G8" s="106"/>
      <c r="H8" s="106"/>
      <c r="I8" s="107">
        <v>10700</v>
      </c>
      <c r="J8" s="108">
        <f>SUM(D8:I8)</f>
        <v>10700</v>
      </c>
      <c r="K8" s="107">
        <v>17018</v>
      </c>
      <c r="L8" s="106"/>
      <c r="M8" s="106">
        <v>7369</v>
      </c>
      <c r="N8" s="106">
        <v>4500</v>
      </c>
      <c r="O8" s="106">
        <v>1745</v>
      </c>
      <c r="P8" s="107"/>
      <c r="Q8" s="108">
        <f>SUM(K8:P8)</f>
        <v>30632</v>
      </c>
      <c r="R8" s="109">
        <f>Q8+J8</f>
        <v>41332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49"/>
      <c r="E9" s="67"/>
      <c r="F9" s="106"/>
      <c r="G9" s="106"/>
      <c r="H9" s="106"/>
      <c r="I9" s="107">
        <v>517000</v>
      </c>
      <c r="J9" s="108">
        <f>SUM(D9:I9)</f>
        <v>517000</v>
      </c>
      <c r="K9" s="107">
        <v>1096833</v>
      </c>
      <c r="L9" s="106"/>
      <c r="M9" s="106">
        <v>515728</v>
      </c>
      <c r="N9" s="106">
        <v>306024</v>
      </c>
      <c r="O9" s="106">
        <v>138905</v>
      </c>
      <c r="P9" s="107"/>
      <c r="Q9" s="108">
        <f>SUM(K9:P9)</f>
        <v>2057490</v>
      </c>
      <c r="R9" s="109">
        <f>Q9+J9</f>
        <v>2574490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2" ref="D10:I10">IF(D8=0,,D9/D8*1000)</f>
        <v>0</v>
      </c>
      <c r="E10" s="56">
        <f t="shared" si="2"/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48317.7570093458</v>
      </c>
      <c r="J10" s="58">
        <f aca="true" t="shared" si="3" ref="J10:P10">IF(J8=0,,J9/J8*1000)</f>
        <v>48317.7570093458</v>
      </c>
      <c r="K10" s="57">
        <f t="shared" si="3"/>
        <v>64451.34563403455</v>
      </c>
      <c r="L10" s="56">
        <f t="shared" si="3"/>
        <v>0</v>
      </c>
      <c r="M10" s="56">
        <f t="shared" si="3"/>
        <v>69986.15823042474</v>
      </c>
      <c r="N10" s="56">
        <f t="shared" si="3"/>
        <v>68005.33333333334</v>
      </c>
      <c r="O10" s="56">
        <f t="shared" si="3"/>
        <v>79601.71919770773</v>
      </c>
      <c r="P10" s="57">
        <f t="shared" si="3"/>
        <v>0</v>
      </c>
      <c r="Q10" s="58">
        <f>IF(Q8=0,,Q9/Q8*1000)</f>
        <v>67167.99425437451</v>
      </c>
      <c r="R10" s="59">
        <f>IF(R8=0,,R9/R8*1000)</f>
        <v>62288.05767927998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66"/>
      <c r="E12" s="67"/>
      <c r="F12" s="67"/>
      <c r="G12" s="67"/>
      <c r="H12" s="67"/>
      <c r="I12" s="68"/>
      <c r="J12" s="52">
        <f>SUM(D12:I12)</f>
        <v>0</v>
      </c>
      <c r="K12" s="68"/>
      <c r="L12" s="67"/>
      <c r="M12" s="67"/>
      <c r="N12" s="67"/>
      <c r="O12" s="67"/>
      <c r="P12" s="68"/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4" ref="D13:I13">IF(D11=0,,D12/D11*1000)</f>
        <v>0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 aca="true" t="shared" si="5" ref="J13:P13">IF(J11=0,,J12/J11*1000)</f>
        <v>0</v>
      </c>
      <c r="K13" s="57">
        <f t="shared" si="5"/>
        <v>0</v>
      </c>
      <c r="L13" s="56">
        <f t="shared" si="5"/>
        <v>0</v>
      </c>
      <c r="M13" s="56">
        <f t="shared" si="5"/>
        <v>0</v>
      </c>
      <c r="N13" s="56">
        <f t="shared" si="5"/>
        <v>0</v>
      </c>
      <c r="O13" s="56">
        <f t="shared" si="5"/>
        <v>0</v>
      </c>
      <c r="P13" s="57">
        <f t="shared" si="5"/>
        <v>0</v>
      </c>
      <c r="Q13" s="58">
        <f>IF(Q11=0,,Q12/Q11*1000)</f>
        <v>0</v>
      </c>
      <c r="R13" s="59">
        <f>IF(R11=0,,R12/R11*1000)</f>
        <v>0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66"/>
      <c r="E15" s="67"/>
      <c r="F15" s="67"/>
      <c r="G15" s="67"/>
      <c r="H15" s="67"/>
      <c r="I15" s="68"/>
      <c r="J15" s="52">
        <f>SUM(D15:I15)</f>
        <v>0</v>
      </c>
      <c r="K15" s="68"/>
      <c r="L15" s="67"/>
      <c r="M15" s="67"/>
      <c r="N15" s="67"/>
      <c r="O15" s="67"/>
      <c r="P15" s="68"/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aca="true" t="shared" si="7" ref="J16:P16">IF(J14=0,,J15/J14*1000)</f>
        <v>0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>IF(Q14=0,,Q15/Q14*1000)</f>
        <v>0</v>
      </c>
      <c r="R16" s="59">
        <f>IF(R14=0,,R15/R14*1000)</f>
        <v>0</v>
      </c>
      <c r="S16" s="8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66"/>
      <c r="E17" s="67">
        <v>3994</v>
      </c>
      <c r="F17" s="67"/>
      <c r="G17" s="67"/>
      <c r="H17" s="67">
        <v>5484</v>
      </c>
      <c r="I17" s="68"/>
      <c r="J17" s="108">
        <f>SUM(D17:I17)</f>
        <v>9478</v>
      </c>
      <c r="K17" s="68"/>
      <c r="L17" s="67"/>
      <c r="M17" s="67"/>
      <c r="N17" s="67"/>
      <c r="O17" s="67"/>
      <c r="P17" s="68"/>
      <c r="Q17" s="108">
        <f>SUM(K17:P17)</f>
        <v>0</v>
      </c>
      <c r="R17" s="109">
        <f>Q17+J17</f>
        <v>9478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66"/>
      <c r="E18" s="67">
        <v>188334</v>
      </c>
      <c r="F18" s="67"/>
      <c r="G18" s="67"/>
      <c r="H18" s="67">
        <v>271018</v>
      </c>
      <c r="I18" s="68"/>
      <c r="J18" s="108">
        <f>SUM(D18:I18)</f>
        <v>459352</v>
      </c>
      <c r="K18" s="68"/>
      <c r="L18" s="67"/>
      <c r="M18" s="67"/>
      <c r="N18" s="67"/>
      <c r="O18" s="67"/>
      <c r="P18" s="68"/>
      <c r="Q18" s="108">
        <f>SUM(K18:P18)</f>
        <v>0</v>
      </c>
      <c r="R18" s="109">
        <f>Q18+J18</f>
        <v>459352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8" ref="D19:I19">IF(D17=0,,D18/D17*1000)</f>
        <v>0</v>
      </c>
      <c r="E19" s="56">
        <f t="shared" si="8"/>
        <v>47154.23134702053</v>
      </c>
      <c r="F19" s="56">
        <f t="shared" si="8"/>
        <v>0</v>
      </c>
      <c r="G19" s="56">
        <f t="shared" si="8"/>
        <v>0</v>
      </c>
      <c r="H19" s="56">
        <f t="shared" si="8"/>
        <v>49419.7665937272</v>
      </c>
      <c r="I19" s="57">
        <f t="shared" si="8"/>
        <v>0</v>
      </c>
      <c r="J19" s="58">
        <f aca="true" t="shared" si="9" ref="J19:P19">IF(J17=0,,J18/J17*1000)</f>
        <v>48465.07702046846</v>
      </c>
      <c r="K19" s="57">
        <f t="shared" si="9"/>
        <v>0</v>
      </c>
      <c r="L19" s="56">
        <f t="shared" si="9"/>
        <v>0</v>
      </c>
      <c r="M19" s="56">
        <f t="shared" si="9"/>
        <v>0</v>
      </c>
      <c r="N19" s="56">
        <f t="shared" si="9"/>
        <v>0</v>
      </c>
      <c r="O19" s="56">
        <f t="shared" si="9"/>
        <v>0</v>
      </c>
      <c r="P19" s="57">
        <f t="shared" si="9"/>
        <v>0</v>
      </c>
      <c r="Q19" s="58">
        <f>IF(Q17=0,,Q18/Q17*1000)</f>
        <v>0</v>
      </c>
      <c r="R19" s="59">
        <f>IF(R17=0,,R18/R17*1000)</f>
        <v>48465.07702046846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66"/>
      <c r="E20" s="67">
        <v>16444</v>
      </c>
      <c r="F20" s="67">
        <v>27641</v>
      </c>
      <c r="G20" s="67">
        <v>1200</v>
      </c>
      <c r="H20" s="67"/>
      <c r="I20" s="68">
        <v>47611</v>
      </c>
      <c r="J20" s="108">
        <f>SUM(D20:I20)</f>
        <v>92896</v>
      </c>
      <c r="K20" s="68">
        <v>30655</v>
      </c>
      <c r="L20" s="67">
        <v>13479</v>
      </c>
      <c r="M20" s="67"/>
      <c r="N20" s="67">
        <v>11740</v>
      </c>
      <c r="O20" s="67"/>
      <c r="P20" s="68">
        <v>9000</v>
      </c>
      <c r="Q20" s="108">
        <f>SUM(K20:P20)</f>
        <v>64874</v>
      </c>
      <c r="R20" s="109">
        <f>Q20+J20</f>
        <v>157770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66"/>
      <c r="E21" s="67">
        <v>712853</v>
      </c>
      <c r="F21" s="67">
        <v>1352455</v>
      </c>
      <c r="G21" s="67">
        <v>57306</v>
      </c>
      <c r="H21" s="67"/>
      <c r="I21" s="68">
        <v>2451469</v>
      </c>
      <c r="J21" s="108">
        <f>SUM(D21:I21)</f>
        <v>4574083</v>
      </c>
      <c r="K21" s="68">
        <v>1648313</v>
      </c>
      <c r="L21" s="67">
        <v>777591</v>
      </c>
      <c r="M21" s="67"/>
      <c r="N21" s="67">
        <v>789084</v>
      </c>
      <c r="O21" s="67"/>
      <c r="P21" s="68">
        <v>696945</v>
      </c>
      <c r="Q21" s="108">
        <f>SUM(K21:P21)</f>
        <v>3911933</v>
      </c>
      <c r="R21" s="109">
        <f>Q21+J21</f>
        <v>8486016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10" ref="D22:I22">IF(D20=0,,D21/D20*1000)</f>
        <v>0</v>
      </c>
      <c r="E22" s="56">
        <f t="shared" si="10"/>
        <v>43350.340549744586</v>
      </c>
      <c r="F22" s="56">
        <f t="shared" si="10"/>
        <v>48929.30791215947</v>
      </c>
      <c r="G22" s="56">
        <f t="shared" si="10"/>
        <v>47755</v>
      </c>
      <c r="H22" s="56">
        <f t="shared" si="10"/>
        <v>0</v>
      </c>
      <c r="I22" s="57">
        <f t="shared" si="10"/>
        <v>51489.55073407406</v>
      </c>
      <c r="J22" s="58">
        <f aca="true" t="shared" si="11" ref="J22:P22">IF(J20=0,,J21/J20*1000)</f>
        <v>49238.75086117809</v>
      </c>
      <c r="K22" s="57">
        <f t="shared" si="11"/>
        <v>53769.792855977816</v>
      </c>
      <c r="L22" s="56">
        <f t="shared" si="11"/>
        <v>57689.07188960606</v>
      </c>
      <c r="M22" s="56">
        <f t="shared" si="11"/>
        <v>0</v>
      </c>
      <c r="N22" s="56">
        <f t="shared" si="11"/>
        <v>67213.28790459965</v>
      </c>
      <c r="O22" s="56">
        <f t="shared" si="11"/>
        <v>0</v>
      </c>
      <c r="P22" s="57">
        <f t="shared" si="11"/>
        <v>77438.33333333333</v>
      </c>
      <c r="Q22" s="58">
        <f>IF(Q20=0,,Q21/Q20*1000)</f>
        <v>60300.47476647039</v>
      </c>
      <c r="R22" s="59">
        <f>IF(R20=0,,R21/R20*1000)</f>
        <v>53787.25993534893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66"/>
      <c r="E23" s="67">
        <v>11393</v>
      </c>
      <c r="F23" s="67"/>
      <c r="G23" s="67"/>
      <c r="H23" s="67"/>
      <c r="I23" s="68"/>
      <c r="J23" s="108">
        <f>SUM(D23:I23)</f>
        <v>11393</v>
      </c>
      <c r="K23" s="68">
        <v>25502</v>
      </c>
      <c r="L23" s="67">
        <v>810</v>
      </c>
      <c r="M23" s="67"/>
      <c r="N23" s="67"/>
      <c r="O23" s="67"/>
      <c r="P23" s="68"/>
      <c r="Q23" s="108">
        <f>SUM(K23:P23)</f>
        <v>26312</v>
      </c>
      <c r="R23" s="109">
        <f>Q23+J23</f>
        <v>37705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66"/>
      <c r="E24" s="67">
        <v>555191</v>
      </c>
      <c r="F24" s="67"/>
      <c r="G24" s="67"/>
      <c r="H24" s="67"/>
      <c r="I24" s="68"/>
      <c r="J24" s="108">
        <f>SUM(D24:I24)</f>
        <v>555191</v>
      </c>
      <c r="K24" s="68">
        <v>1487179</v>
      </c>
      <c r="L24" s="67">
        <v>53041</v>
      </c>
      <c r="M24" s="67"/>
      <c r="N24" s="67"/>
      <c r="O24" s="67"/>
      <c r="P24" s="68"/>
      <c r="Q24" s="108">
        <f>SUM(K24:P24)</f>
        <v>1540220</v>
      </c>
      <c r="R24" s="109">
        <f>Q24+J24</f>
        <v>2095411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12" ref="D25:I25">IF(D23=0,,D24/D23*1000)</f>
        <v>0</v>
      </c>
      <c r="E25" s="56">
        <f t="shared" si="12"/>
        <v>48730.887386992006</v>
      </c>
      <c r="F25" s="56">
        <f t="shared" si="12"/>
        <v>0</v>
      </c>
      <c r="G25" s="56">
        <f t="shared" si="12"/>
        <v>0</v>
      </c>
      <c r="H25" s="56">
        <f t="shared" si="12"/>
        <v>0</v>
      </c>
      <c r="I25" s="57">
        <f t="shared" si="12"/>
        <v>0</v>
      </c>
      <c r="J25" s="58">
        <f aca="true" t="shared" si="13" ref="J25:P25">IF(J23=0,,J24/J23*1000)</f>
        <v>48730.887386992006</v>
      </c>
      <c r="K25" s="57">
        <f t="shared" si="13"/>
        <v>58316.17128068387</v>
      </c>
      <c r="L25" s="56">
        <f t="shared" si="13"/>
        <v>65482.71604938272</v>
      </c>
      <c r="M25" s="56">
        <f t="shared" si="13"/>
        <v>0</v>
      </c>
      <c r="N25" s="56">
        <f t="shared" si="13"/>
        <v>0</v>
      </c>
      <c r="O25" s="56">
        <f t="shared" si="13"/>
        <v>0</v>
      </c>
      <c r="P25" s="57">
        <f t="shared" si="13"/>
        <v>0</v>
      </c>
      <c r="Q25" s="58">
        <f>IF(Q23=0,,Q24/Q23*1000)</f>
        <v>58536.78929765886</v>
      </c>
      <c r="R25" s="59">
        <f>IF(R23=0,,R24/R23*1000)</f>
        <v>55573.823100384565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66">
        <v>4999</v>
      </c>
      <c r="E26" s="67"/>
      <c r="F26" s="67">
        <v>14996</v>
      </c>
      <c r="G26" s="67"/>
      <c r="H26" s="67"/>
      <c r="I26" s="68"/>
      <c r="J26" s="108">
        <f>SUM(D26:I26)</f>
        <v>19995</v>
      </c>
      <c r="K26" s="68">
        <v>8684</v>
      </c>
      <c r="L26" s="67"/>
      <c r="M26" s="67"/>
      <c r="N26" s="67"/>
      <c r="O26" s="67"/>
      <c r="P26" s="68"/>
      <c r="Q26" s="108">
        <f>SUM(K26:P26)</f>
        <v>8684</v>
      </c>
      <c r="R26" s="109">
        <f>Q26+J26</f>
        <v>28679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66">
        <v>243286</v>
      </c>
      <c r="E27" s="67"/>
      <c r="F27" s="67">
        <v>693599</v>
      </c>
      <c r="G27" s="67"/>
      <c r="H27" s="67"/>
      <c r="I27" s="68"/>
      <c r="J27" s="108">
        <f>SUM(D27:I27)</f>
        <v>936885</v>
      </c>
      <c r="K27" s="68">
        <v>504341</v>
      </c>
      <c r="L27" s="67"/>
      <c r="M27" s="67"/>
      <c r="N27" s="67"/>
      <c r="O27" s="67"/>
      <c r="P27" s="68"/>
      <c r="Q27" s="108">
        <f>SUM(K27:P27)</f>
        <v>504341</v>
      </c>
      <c r="R27" s="109">
        <f>Q27+J27</f>
        <v>1441226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14" ref="D28:I28">IF(D26=0,,D27/D26*1000)</f>
        <v>48666.93338667734</v>
      </c>
      <c r="E28" s="56">
        <f t="shared" si="14"/>
        <v>0</v>
      </c>
      <c r="F28" s="56">
        <f t="shared" si="14"/>
        <v>46252.267271272336</v>
      </c>
      <c r="G28" s="56">
        <f t="shared" si="14"/>
        <v>0</v>
      </c>
      <c r="H28" s="56">
        <f t="shared" si="14"/>
        <v>0</v>
      </c>
      <c r="I28" s="57">
        <f t="shared" si="14"/>
        <v>0</v>
      </c>
      <c r="J28" s="58">
        <f aca="true" t="shared" si="15" ref="J28:P28">IF(J26=0,,J27/J26*1000)</f>
        <v>46855.96399099775</v>
      </c>
      <c r="K28" s="57">
        <f t="shared" si="15"/>
        <v>58077.038231229846</v>
      </c>
      <c r="L28" s="56">
        <f t="shared" si="15"/>
        <v>0</v>
      </c>
      <c r="M28" s="56">
        <f t="shared" si="15"/>
        <v>0</v>
      </c>
      <c r="N28" s="56">
        <f t="shared" si="15"/>
        <v>0</v>
      </c>
      <c r="O28" s="56">
        <f t="shared" si="15"/>
        <v>0</v>
      </c>
      <c r="P28" s="57">
        <f t="shared" si="15"/>
        <v>0</v>
      </c>
      <c r="Q28" s="58">
        <f>IF(Q26=0,,Q27/Q26*1000)</f>
        <v>58077.038231229846</v>
      </c>
      <c r="R28" s="59">
        <f>IF(R26=0,,R27/R26*1000)</f>
        <v>50253.704801422646</v>
      </c>
      <c r="S28" s="8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68"/>
      <c r="L30" s="67"/>
      <c r="M30" s="67"/>
      <c r="N30" s="67"/>
      <c r="O30" s="67"/>
      <c r="P30" s="68"/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16" ref="D31:I31">IF(D29=0,,D30/D29*1000)</f>
        <v>0</v>
      </c>
      <c r="E31" s="56">
        <f t="shared" si="16"/>
        <v>0</v>
      </c>
      <c r="F31" s="56">
        <f t="shared" si="16"/>
        <v>0</v>
      </c>
      <c r="G31" s="56">
        <f t="shared" si="16"/>
        <v>0</v>
      </c>
      <c r="H31" s="56">
        <f t="shared" si="16"/>
        <v>0</v>
      </c>
      <c r="I31" s="57">
        <f t="shared" si="16"/>
        <v>0</v>
      </c>
      <c r="J31" s="58">
        <f aca="true" t="shared" si="17" ref="J31:P31">IF(J29=0,,J30/J29*1000)</f>
        <v>0</v>
      </c>
      <c r="K31" s="57">
        <f t="shared" si="17"/>
        <v>0</v>
      </c>
      <c r="L31" s="56">
        <f t="shared" si="17"/>
        <v>0</v>
      </c>
      <c r="M31" s="56">
        <f t="shared" si="17"/>
        <v>0</v>
      </c>
      <c r="N31" s="56">
        <f t="shared" si="17"/>
        <v>0</v>
      </c>
      <c r="O31" s="56">
        <f t="shared" si="17"/>
        <v>0</v>
      </c>
      <c r="P31" s="57">
        <f t="shared" si="17"/>
        <v>0</v>
      </c>
      <c r="Q31" s="58">
        <f>IF(Q29=0,,Q30/Q29*1000)</f>
        <v>0</v>
      </c>
      <c r="R31" s="59">
        <f>IF(R29=0,,R30/R29*1000)</f>
        <v>0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66"/>
      <c r="E33" s="67"/>
      <c r="F33" s="67"/>
      <c r="G33" s="67"/>
      <c r="H33" s="67"/>
      <c r="I33" s="68"/>
      <c r="J33" s="52">
        <f>SUM(D33:I33)</f>
        <v>0</v>
      </c>
      <c r="K33" s="68"/>
      <c r="L33" s="67"/>
      <c r="M33" s="67"/>
      <c r="N33" s="67"/>
      <c r="O33" s="67"/>
      <c r="P33" s="68"/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81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82">
        <f t="shared" si="18"/>
        <v>0</v>
      </c>
      <c r="H34" s="82">
        <f t="shared" si="18"/>
        <v>0</v>
      </c>
      <c r="I34" s="83">
        <f t="shared" si="18"/>
        <v>0</v>
      </c>
      <c r="J34" s="58">
        <f aca="true" t="shared" si="19" ref="J34:P34">IF(J32=0,,J33/J32*1000)</f>
        <v>0</v>
      </c>
      <c r="K34" s="57">
        <f t="shared" si="19"/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0</v>
      </c>
      <c r="R34" s="59">
        <f>IF(R32=0,,R33/R32*1000)</f>
        <v>0</v>
      </c>
      <c r="S34" s="8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66"/>
      <c r="E36" s="67"/>
      <c r="F36" s="67"/>
      <c r="G36" s="67"/>
      <c r="H36" s="67"/>
      <c r="I36" s="68"/>
      <c r="J36" s="52">
        <f>SUM(D36:I36)</f>
        <v>0</v>
      </c>
      <c r="K36" s="68"/>
      <c r="L36" s="67"/>
      <c r="M36" s="67"/>
      <c r="N36" s="67"/>
      <c r="O36" s="67"/>
      <c r="P36" s="68"/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81">
        <f aca="true" t="shared" si="20" ref="D37:I37">IF(D35=0,,D36/D35*1000)</f>
        <v>0</v>
      </c>
      <c r="E37" s="56">
        <f t="shared" si="20"/>
        <v>0</v>
      </c>
      <c r="F37" s="56">
        <f t="shared" si="20"/>
        <v>0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 aca="true" t="shared" si="21" ref="J37:P37">IF(J35=0,,J36/J35*1000)</f>
        <v>0</v>
      </c>
      <c r="K37" s="57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0</v>
      </c>
      <c r="O37" s="56">
        <f t="shared" si="21"/>
        <v>0</v>
      </c>
      <c r="P37" s="57">
        <f t="shared" si="21"/>
        <v>0</v>
      </c>
      <c r="Q37" s="58">
        <f>IF(Q35=0,,Q36/Q35*1000)</f>
        <v>0</v>
      </c>
      <c r="R37" s="59">
        <f>IF(R35=0,,R36/R35*1000)</f>
        <v>0</v>
      </c>
      <c r="S37" s="8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66"/>
      <c r="E38" s="67"/>
      <c r="F38" s="67"/>
      <c r="G38" s="67"/>
      <c r="H38" s="67"/>
      <c r="I38" s="68"/>
      <c r="J38" s="52">
        <f>SUM(D38:I38)</f>
        <v>0</v>
      </c>
      <c r="K38" s="68"/>
      <c r="L38" s="67"/>
      <c r="M38" s="67"/>
      <c r="N38" s="67"/>
      <c r="O38" s="67"/>
      <c r="P38" s="68"/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66"/>
      <c r="E39" s="67"/>
      <c r="F39" s="67"/>
      <c r="G39" s="67"/>
      <c r="H39" s="67"/>
      <c r="I39" s="68"/>
      <c r="J39" s="52">
        <f>SUM(D39:I39)</f>
        <v>0</v>
      </c>
      <c r="K39" s="68"/>
      <c r="L39" s="67"/>
      <c r="M39" s="67"/>
      <c r="N39" s="67"/>
      <c r="O39" s="67"/>
      <c r="P39" s="68"/>
      <c r="Q39" s="52">
        <f>SUM(K39:P39)</f>
        <v>0</v>
      </c>
      <c r="R39" s="53">
        <f>Q39+J39</f>
        <v>0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81">
        <f aca="true" t="shared" si="22" ref="D40:I40">IF(D38=0,,D39/D38*1000)</f>
        <v>0</v>
      </c>
      <c r="E40" s="56">
        <f t="shared" si="22"/>
        <v>0</v>
      </c>
      <c r="F40" s="56">
        <f t="shared" si="22"/>
        <v>0</v>
      </c>
      <c r="G40" s="56">
        <f t="shared" si="22"/>
        <v>0</v>
      </c>
      <c r="H40" s="56">
        <f t="shared" si="22"/>
        <v>0</v>
      </c>
      <c r="I40" s="57">
        <f t="shared" si="22"/>
        <v>0</v>
      </c>
      <c r="J40" s="58">
        <f aca="true" t="shared" si="23" ref="J40:P40">IF(J38=0,,J39/J38*1000)</f>
        <v>0</v>
      </c>
      <c r="K40" s="57">
        <f t="shared" si="23"/>
        <v>0</v>
      </c>
      <c r="L40" s="56">
        <f t="shared" si="23"/>
        <v>0</v>
      </c>
      <c r="M40" s="56">
        <f t="shared" si="23"/>
        <v>0</v>
      </c>
      <c r="N40" s="56">
        <f t="shared" si="23"/>
        <v>0</v>
      </c>
      <c r="O40" s="56">
        <f t="shared" si="23"/>
        <v>0</v>
      </c>
      <c r="P40" s="57">
        <f t="shared" si="23"/>
        <v>0</v>
      </c>
      <c r="Q40" s="58">
        <f>IF(Q38=0,,Q39/Q38*1000)</f>
        <v>0</v>
      </c>
      <c r="R40" s="59">
        <f>IF(R38=0,,R39/R38*1000)</f>
        <v>0</v>
      </c>
      <c r="S40" s="8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 aca="true" t="shared" si="24" ref="D41:I42">D5+D8+D11+D14+D17+D20+D23+D26+D29+D32+D35+D38</f>
        <v>4999</v>
      </c>
      <c r="E41" s="106">
        <f t="shared" si="24"/>
        <v>41895</v>
      </c>
      <c r="F41" s="106">
        <f t="shared" si="24"/>
        <v>43197</v>
      </c>
      <c r="G41" s="106">
        <f t="shared" si="24"/>
        <v>1200</v>
      </c>
      <c r="H41" s="106">
        <f t="shared" si="24"/>
        <v>28015</v>
      </c>
      <c r="I41" s="107">
        <f t="shared" si="24"/>
        <v>58311</v>
      </c>
      <c r="J41" s="108">
        <f aca="true" t="shared" si="25" ref="J41:R42">J5+J8+J11+J14+J17+J20+J23+J26+J29+J32+J35+J38</f>
        <v>177617</v>
      </c>
      <c r="K41" s="107">
        <f t="shared" si="25"/>
        <v>101051</v>
      </c>
      <c r="L41" s="106">
        <f t="shared" si="25"/>
        <v>14289</v>
      </c>
      <c r="M41" s="106">
        <f t="shared" si="25"/>
        <v>7369</v>
      </c>
      <c r="N41" s="106">
        <f t="shared" si="25"/>
        <v>16240</v>
      </c>
      <c r="O41" s="106">
        <f t="shared" si="25"/>
        <v>6245</v>
      </c>
      <c r="P41" s="107">
        <f t="shared" si="25"/>
        <v>15000</v>
      </c>
      <c r="Q41" s="108">
        <f t="shared" si="25"/>
        <v>160194</v>
      </c>
      <c r="R41" s="109">
        <f t="shared" si="25"/>
        <v>337811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105">
        <f t="shared" si="24"/>
        <v>243286</v>
      </c>
      <c r="E42" s="106">
        <f t="shared" si="24"/>
        <v>1944046</v>
      </c>
      <c r="F42" s="106">
        <f t="shared" si="24"/>
        <v>2072829</v>
      </c>
      <c r="G42" s="106">
        <f t="shared" si="24"/>
        <v>57306</v>
      </c>
      <c r="H42" s="106">
        <f t="shared" si="24"/>
        <v>1372826</v>
      </c>
      <c r="I42" s="107">
        <f t="shared" si="24"/>
        <v>2968469</v>
      </c>
      <c r="J42" s="108">
        <f t="shared" si="25"/>
        <v>8658762</v>
      </c>
      <c r="K42" s="107">
        <f t="shared" si="25"/>
        <v>5839866</v>
      </c>
      <c r="L42" s="106">
        <f t="shared" si="25"/>
        <v>830632</v>
      </c>
      <c r="M42" s="106">
        <f t="shared" si="25"/>
        <v>515728</v>
      </c>
      <c r="N42" s="106">
        <f t="shared" si="25"/>
        <v>1095108</v>
      </c>
      <c r="O42" s="106">
        <f t="shared" si="25"/>
        <v>498819</v>
      </c>
      <c r="P42" s="107">
        <f t="shared" si="25"/>
        <v>1103184</v>
      </c>
      <c r="Q42" s="108">
        <f t="shared" si="25"/>
        <v>9883337</v>
      </c>
      <c r="R42" s="109">
        <f t="shared" si="25"/>
        <v>18542099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26" ref="D43:I43">IF(D41=0,,D42/D41*1000)</f>
        <v>48666.93338667734</v>
      </c>
      <c r="E43" s="56">
        <f t="shared" si="26"/>
        <v>46402.81656522258</v>
      </c>
      <c r="F43" s="56">
        <f t="shared" si="26"/>
        <v>47985.48510313216</v>
      </c>
      <c r="G43" s="56">
        <f t="shared" si="26"/>
        <v>47755</v>
      </c>
      <c r="H43" s="56">
        <f t="shared" si="26"/>
        <v>49003.24825986079</v>
      </c>
      <c r="I43" s="57">
        <f t="shared" si="26"/>
        <v>50907.53031160501</v>
      </c>
      <c r="J43" s="58">
        <f aca="true" t="shared" si="27" ref="J43:P43">IF(J41=0,,J42/J41*1000)</f>
        <v>48749.624191378076</v>
      </c>
      <c r="K43" s="57">
        <f t="shared" si="27"/>
        <v>57791.2737132735</v>
      </c>
      <c r="L43" s="56">
        <f t="shared" si="27"/>
        <v>58130.86989992302</v>
      </c>
      <c r="M43" s="56">
        <f t="shared" si="27"/>
        <v>69986.15823042474</v>
      </c>
      <c r="N43" s="56">
        <f t="shared" si="27"/>
        <v>67432.75862068965</v>
      </c>
      <c r="O43" s="56">
        <f t="shared" si="27"/>
        <v>79874.93995196157</v>
      </c>
      <c r="P43" s="57">
        <f t="shared" si="27"/>
        <v>73545.59999999999</v>
      </c>
      <c r="Q43" s="58">
        <f>IF(Q41=0,,Q42/Q41*1000)</f>
        <v>61696.04978963007</v>
      </c>
      <c r="R43" s="59">
        <f>IF(R41=0,,R42/R41*1000)</f>
        <v>54888.97342004849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85">
        <v>107.15</v>
      </c>
      <c r="E44" s="86">
        <v>106.02</v>
      </c>
      <c r="F44" s="127">
        <v>107.9</v>
      </c>
      <c r="G44" s="87">
        <v>110.6</v>
      </c>
      <c r="H44" s="87">
        <v>111.54</v>
      </c>
      <c r="I44" s="61">
        <v>110.21</v>
      </c>
      <c r="J44" s="62"/>
      <c r="K44" s="63">
        <v>113.34</v>
      </c>
      <c r="L44" s="112">
        <v>116.67</v>
      </c>
      <c r="M44" s="64">
        <v>119.52</v>
      </c>
      <c r="N44" s="64">
        <v>116.1</v>
      </c>
      <c r="O44" s="87">
        <v>116.92</v>
      </c>
      <c r="P44" s="88"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workbookViewId="0" topLeftCell="A1">
      <pane xSplit="3" ySplit="4" topLeftCell="D20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7" t="s">
        <v>55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105">
        <f>'B一般'!D5+'B原料'!D5</f>
        <v>62386</v>
      </c>
      <c r="E5" s="106">
        <f>'B一般'!E5+'B原料'!E5</f>
        <v>74129</v>
      </c>
      <c r="F5" s="106">
        <f>'B一般'!F5+'B原料'!F5</f>
        <v>95559</v>
      </c>
      <c r="G5" s="106">
        <f>'B一般'!G5+'B原料'!G5</f>
        <v>85491</v>
      </c>
      <c r="H5" s="106">
        <f>'B一般'!H5+'B原料'!H5</f>
        <v>82660</v>
      </c>
      <c r="I5" s="107">
        <f>'B一般'!I5+'B原料'!I5</f>
        <v>82690</v>
      </c>
      <c r="J5" s="108">
        <f>'B一般'!J5+'B原料'!J5</f>
        <v>482915</v>
      </c>
      <c r="K5" s="107">
        <f>'B一般'!K5+'B原料'!K5</f>
        <v>61325</v>
      </c>
      <c r="L5" s="106">
        <f>'B一般'!L5+'B原料'!L5</f>
        <v>81214</v>
      </c>
      <c r="M5" s="106">
        <f>'B一般'!M5+'B原料'!M5</f>
        <v>56530</v>
      </c>
      <c r="N5" s="106">
        <f>'B一般'!N5+'B原料'!N5</f>
        <v>61496</v>
      </c>
      <c r="O5" s="106">
        <f>'B一般'!O5+'B原料'!O5</f>
        <v>50418</v>
      </c>
      <c r="P5" s="107">
        <f>'B一般'!P5+'B原料'!P5</f>
        <v>81028</v>
      </c>
      <c r="Q5" s="108">
        <f>'B一般'!Q5+'B原料'!Q5</f>
        <v>392011</v>
      </c>
      <c r="R5" s="109">
        <f>'B一般'!R5+'B原料'!R5</f>
        <v>874926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105">
        <f>'B一般'!D6+'B原料'!D6</f>
        <v>2945133</v>
      </c>
      <c r="E6" s="106">
        <f>'B一般'!E6+'B原料'!E6</f>
        <v>3604995</v>
      </c>
      <c r="F6" s="106">
        <f>'B一般'!F6+'B原料'!F6</f>
        <v>4602918</v>
      </c>
      <c r="G6" s="106">
        <f>'B一般'!G6+'B原料'!G6</f>
        <v>4078524</v>
      </c>
      <c r="H6" s="106">
        <f>'B一般'!H6+'B原料'!H6</f>
        <v>4019254</v>
      </c>
      <c r="I6" s="107">
        <f>'B一般'!I6+'B原料'!I6</f>
        <v>4070188</v>
      </c>
      <c r="J6" s="108">
        <f>'B一般'!J6+'B原料'!J6</f>
        <v>23321012</v>
      </c>
      <c r="K6" s="107">
        <f>'B一般'!K6+'B原料'!K6</f>
        <v>3567598</v>
      </c>
      <c r="L6" s="106">
        <f>'B一般'!L6+'B原料'!L6</f>
        <v>5441246</v>
      </c>
      <c r="M6" s="106">
        <f>'B一般'!M6+'B原料'!M6</f>
        <v>4028296</v>
      </c>
      <c r="N6" s="106">
        <f>'B一般'!N6+'B原料'!N6</f>
        <v>4266716</v>
      </c>
      <c r="O6" s="106">
        <f>'B一般'!O6+'B原料'!O6</f>
        <v>3844764</v>
      </c>
      <c r="P6" s="107">
        <f>'B一般'!P6+'B原料'!P6</f>
        <v>5914144</v>
      </c>
      <c r="Q6" s="108">
        <f>'B一般'!Q6+'B原料'!Q6</f>
        <v>27062764</v>
      </c>
      <c r="R6" s="109">
        <f>'B一般'!R6+'B原料'!R6</f>
        <v>50383776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I7">IF(D5=0,,D6/D5*1000)</f>
        <v>47208.235822139584</v>
      </c>
      <c r="E7" s="56">
        <f t="shared" si="0"/>
        <v>48631.37233741181</v>
      </c>
      <c r="F7" s="56">
        <f t="shared" si="0"/>
        <v>48168.33579254701</v>
      </c>
      <c r="G7" s="56">
        <f t="shared" si="0"/>
        <v>47707.05688318068</v>
      </c>
      <c r="H7" s="56">
        <f t="shared" si="0"/>
        <v>48623.92934914106</v>
      </c>
      <c r="I7" s="57">
        <f t="shared" si="0"/>
        <v>49222.251783770706</v>
      </c>
      <c r="J7" s="58">
        <f>(J6/J5)*1000</f>
        <v>48292.167358644896</v>
      </c>
      <c r="K7" s="57">
        <f aca="true" t="shared" si="1" ref="K7:R7">IF(K5=0,,K6/K5*1000)</f>
        <v>58175.262943334696</v>
      </c>
      <c r="L7" s="56">
        <f t="shared" si="1"/>
        <v>66998.86719038589</v>
      </c>
      <c r="M7" s="56">
        <f t="shared" si="1"/>
        <v>71259.43746683178</v>
      </c>
      <c r="N7" s="56">
        <f t="shared" si="1"/>
        <v>69382.00858592428</v>
      </c>
      <c r="O7" s="56">
        <f t="shared" si="1"/>
        <v>76257.7650838986</v>
      </c>
      <c r="P7" s="57">
        <f t="shared" si="1"/>
        <v>72988.89272843955</v>
      </c>
      <c r="Q7" s="58">
        <f t="shared" si="1"/>
        <v>69035.72603829994</v>
      </c>
      <c r="R7" s="59">
        <f t="shared" si="1"/>
        <v>57586.328443776954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05">
        <f>'B一般'!D8+'B原料'!D8</f>
        <v>34912</v>
      </c>
      <c r="E8" s="106">
        <f>'B一般'!E8+'B原料'!E8</f>
        <v>34915</v>
      </c>
      <c r="F8" s="106">
        <f>'B一般'!F8+'B原料'!F8</f>
        <v>34964</v>
      </c>
      <c r="G8" s="106">
        <f>'B一般'!G8+'B原料'!G8</f>
        <v>40538</v>
      </c>
      <c r="H8" s="106">
        <f>'B一般'!H8+'B原料'!H8</f>
        <v>11685</v>
      </c>
      <c r="I8" s="107">
        <f>'B一般'!I8+'B原料'!I8</f>
        <v>51405</v>
      </c>
      <c r="J8" s="108">
        <f>'B一般'!J8+'B原料'!J8</f>
        <v>208419</v>
      </c>
      <c r="K8" s="107">
        <f>'B一般'!K8+'B原料'!K8</f>
        <v>30712</v>
      </c>
      <c r="L8" s="106">
        <f>'B一般'!L8+'B原料'!L8</f>
        <v>23786</v>
      </c>
      <c r="M8" s="106">
        <f>'B一般'!M8+'B原料'!M8</f>
        <v>29826</v>
      </c>
      <c r="N8" s="106">
        <f>'B一般'!N8+'B原料'!N8</f>
        <v>52201</v>
      </c>
      <c r="O8" s="106">
        <f>'B一般'!O8+'B原料'!O8</f>
        <v>15780</v>
      </c>
      <c r="P8" s="107">
        <f>'B一般'!P8+'B原料'!P8</f>
        <v>66843</v>
      </c>
      <c r="Q8" s="108">
        <f>'B一般'!Q8+'B原料'!Q8</f>
        <v>219148</v>
      </c>
      <c r="R8" s="109">
        <f>'B一般'!R8+'B原料'!R8</f>
        <v>427567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05">
        <f>'B一般'!D9+'B原料'!D9</f>
        <v>1655859</v>
      </c>
      <c r="E9" s="106">
        <f>'B一般'!E9+'B原料'!E9</f>
        <v>1694485</v>
      </c>
      <c r="F9" s="106">
        <f>'B一般'!F9+'B原料'!F9</f>
        <v>1686981</v>
      </c>
      <c r="G9" s="106">
        <f>'B一般'!G9+'B原料'!G9</f>
        <v>1945608</v>
      </c>
      <c r="H9" s="106">
        <f>'B一般'!H9+'B原料'!H9</f>
        <v>578816</v>
      </c>
      <c r="I9" s="107">
        <f>'B一般'!I9+'B原料'!I9</f>
        <v>2543960</v>
      </c>
      <c r="J9" s="108">
        <f>'B一般'!J9+'B原料'!J9</f>
        <v>10105709</v>
      </c>
      <c r="K9" s="107">
        <f>'B一般'!K9+'B原料'!K9</f>
        <v>1865815</v>
      </c>
      <c r="L9" s="106">
        <f>'B一般'!L9+'B原料'!L9</f>
        <v>1552427</v>
      </c>
      <c r="M9" s="106">
        <f>'B一般'!M9+'B原料'!M9</f>
        <v>2055033</v>
      </c>
      <c r="N9" s="106">
        <f>'B一般'!N9+'B原料'!N9</f>
        <v>3617957</v>
      </c>
      <c r="O9" s="106">
        <f>'B一般'!O9+'B原料'!O9</f>
        <v>1247825</v>
      </c>
      <c r="P9" s="107">
        <f>'B一般'!P9+'B原料'!P9</f>
        <v>5028395</v>
      </c>
      <c r="Q9" s="108">
        <f>'B一般'!Q9+'B原料'!Q9</f>
        <v>15367452</v>
      </c>
      <c r="R9" s="109">
        <f>'B一般'!R9+'B原料'!R9</f>
        <v>25473161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2" ref="D10:I10">IF(D8=0,,D9/D8*1000)</f>
        <v>47429.50847846013</v>
      </c>
      <c r="E10" s="56">
        <f t="shared" si="2"/>
        <v>48531.719891164255</v>
      </c>
      <c r="F10" s="56">
        <f t="shared" si="2"/>
        <v>48249.08477290928</v>
      </c>
      <c r="G10" s="56">
        <f t="shared" si="2"/>
        <v>47994.671666091075</v>
      </c>
      <c r="H10" s="56">
        <f t="shared" si="2"/>
        <v>49534.95934959349</v>
      </c>
      <c r="I10" s="57">
        <f t="shared" si="2"/>
        <v>49488.57115066628</v>
      </c>
      <c r="J10" s="58">
        <f>(J9/J8)*1000</f>
        <v>48487.465154328536</v>
      </c>
      <c r="K10" s="57">
        <f aca="true" t="shared" si="3" ref="K10:R10">IF(K8=0,,K9/K8*1000)</f>
        <v>60751.98619432144</v>
      </c>
      <c r="L10" s="56">
        <f t="shared" si="3"/>
        <v>65266.41722021357</v>
      </c>
      <c r="M10" s="56">
        <f t="shared" si="3"/>
        <v>68900.7242003621</v>
      </c>
      <c r="N10" s="56">
        <f t="shared" si="3"/>
        <v>69308.1933296297</v>
      </c>
      <c r="O10" s="56">
        <f t="shared" si="3"/>
        <v>79076.36248415716</v>
      </c>
      <c r="P10" s="57">
        <f t="shared" si="3"/>
        <v>75226.94971799591</v>
      </c>
      <c r="Q10" s="58">
        <f t="shared" si="3"/>
        <v>70123.62421742384</v>
      </c>
      <c r="R10" s="59">
        <f t="shared" si="3"/>
        <v>59577.00430575793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105">
        <f>'B一般'!D11+'B原料'!D11</f>
        <v>23753</v>
      </c>
      <c r="E11" s="106">
        <f>'B一般'!E11+'B原料'!E11</f>
        <v>0</v>
      </c>
      <c r="F11" s="106">
        <f>'B一般'!F11+'B原料'!F11</f>
        <v>0</v>
      </c>
      <c r="G11" s="106">
        <f>'B一般'!G11+'B原料'!G11</f>
        <v>0</v>
      </c>
      <c r="H11" s="106">
        <f>'B一般'!H11+'B原料'!H11</f>
        <v>0</v>
      </c>
      <c r="I11" s="107">
        <f>'B一般'!I11+'B原料'!I11</f>
        <v>0</v>
      </c>
      <c r="J11" s="108">
        <f>'B一般'!J11+'B原料'!J11</f>
        <v>23753</v>
      </c>
      <c r="K11" s="107">
        <f>'B一般'!K11+'B原料'!K11</f>
        <v>9882</v>
      </c>
      <c r="L11" s="106">
        <f>'B一般'!L11+'B原料'!L11</f>
        <v>10854</v>
      </c>
      <c r="M11" s="106">
        <f>'B一般'!M11+'B原料'!M11</f>
        <v>0</v>
      </c>
      <c r="N11" s="106">
        <f>'B一般'!N11+'B原料'!N11</f>
        <v>0</v>
      </c>
      <c r="O11" s="106">
        <f>'B一般'!O11+'B原料'!O11</f>
        <v>0</v>
      </c>
      <c r="P11" s="107">
        <f>'B一般'!P11+'B原料'!P11</f>
        <v>23612</v>
      </c>
      <c r="Q11" s="108">
        <f>'B一般'!Q11+'B原料'!Q11</f>
        <v>44348</v>
      </c>
      <c r="R11" s="109">
        <f>'B一般'!R11+'B原料'!R11</f>
        <v>68101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105">
        <f>'B一般'!D12+'B原料'!D12</f>
        <v>1113420</v>
      </c>
      <c r="E12" s="106">
        <f>'B一般'!E12+'B原料'!E12</f>
        <v>0</v>
      </c>
      <c r="F12" s="106">
        <f>'B一般'!F12+'B原料'!F12</f>
        <v>0</v>
      </c>
      <c r="G12" s="106">
        <f>'B一般'!G12+'B原料'!G12</f>
        <v>0</v>
      </c>
      <c r="H12" s="106">
        <f>'B一般'!H12+'B原料'!H12</f>
        <v>0</v>
      </c>
      <c r="I12" s="107">
        <f>'B一般'!I12+'B原料'!I12</f>
        <v>0</v>
      </c>
      <c r="J12" s="108">
        <f>'B一般'!J12+'B原料'!J12</f>
        <v>1113420</v>
      </c>
      <c r="K12" s="107">
        <f>'B一般'!K12+'B原料'!K12</f>
        <v>537670</v>
      </c>
      <c r="L12" s="106">
        <f>'B一般'!L12+'B原料'!L12</f>
        <v>609946</v>
      </c>
      <c r="M12" s="106">
        <f>'B一般'!M12+'B原料'!M12</f>
        <v>0</v>
      </c>
      <c r="N12" s="106">
        <f>'B一般'!N12+'B原料'!N12</f>
        <v>0</v>
      </c>
      <c r="O12" s="106">
        <f>'B一般'!O12+'B原料'!O12</f>
        <v>0</v>
      </c>
      <c r="P12" s="107">
        <f>'B一般'!P12+'B原料'!P12</f>
        <v>1770866</v>
      </c>
      <c r="Q12" s="108">
        <f>'B一般'!Q12+'B原料'!Q12</f>
        <v>2918482</v>
      </c>
      <c r="R12" s="109">
        <f>'B一般'!R12+'B原料'!R12</f>
        <v>4031902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4" ref="D13:I13">IF(D11=0,,D12/D11*1000)</f>
        <v>46874.92106260262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>(J12/J11)*1000</f>
        <v>46874.92106260262</v>
      </c>
      <c r="K13" s="57">
        <f aca="true" t="shared" si="5" ref="K13:R13">IF(K11=0,,K12/K11*1000)</f>
        <v>54409.02651285165</v>
      </c>
      <c r="L13" s="56">
        <f t="shared" si="5"/>
        <v>56195.503961673116</v>
      </c>
      <c r="M13" s="56">
        <f t="shared" si="5"/>
        <v>0</v>
      </c>
      <c r="N13" s="56">
        <f t="shared" si="5"/>
        <v>0</v>
      </c>
      <c r="O13" s="56">
        <f t="shared" si="5"/>
        <v>0</v>
      </c>
      <c r="P13" s="57">
        <f t="shared" si="5"/>
        <v>74998.56005420972</v>
      </c>
      <c r="Q13" s="58">
        <f t="shared" si="5"/>
        <v>65808.64977000089</v>
      </c>
      <c r="R13" s="59">
        <f t="shared" si="5"/>
        <v>59204.74001850193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49">
        <f>'B一般'!D14+'B原料'!D14</f>
        <v>0</v>
      </c>
      <c r="E14" s="50">
        <f>'B一般'!E14+'B原料'!E14</f>
        <v>0</v>
      </c>
      <c r="F14" s="50">
        <f>'B一般'!F14+'B原料'!F14</f>
        <v>0</v>
      </c>
      <c r="G14" s="50">
        <f>'B一般'!G14+'B原料'!G14</f>
        <v>11709</v>
      </c>
      <c r="H14" s="50">
        <f>'B一般'!H14+'B原料'!H14</f>
        <v>0</v>
      </c>
      <c r="I14" s="51">
        <f>'B一般'!I14+'B原料'!I14</f>
        <v>0</v>
      </c>
      <c r="J14" s="52">
        <f>'B一般'!J14+'B原料'!J14</f>
        <v>11709</v>
      </c>
      <c r="K14" s="51">
        <f>'B一般'!K14+'B原料'!K14</f>
        <v>0</v>
      </c>
      <c r="L14" s="50">
        <f>'B一般'!L14+'B原料'!L14</f>
        <v>0</v>
      </c>
      <c r="M14" s="106">
        <f>'B一般'!M14+'B原料'!M14</f>
        <v>0</v>
      </c>
      <c r="N14" s="50">
        <f>'B一般'!N14+'B原料'!N14</f>
        <v>0</v>
      </c>
      <c r="O14" s="50">
        <f>'B一般'!O14+'B原料'!O14</f>
        <v>0</v>
      </c>
      <c r="P14" s="51">
        <f>'B一般'!P14+'B原料'!P14</f>
        <v>0</v>
      </c>
      <c r="Q14" s="52">
        <f>'B一般'!Q14+'B原料'!Q14</f>
        <v>0</v>
      </c>
      <c r="R14" s="53">
        <f>'B一般'!R14+'B原料'!R14</f>
        <v>11709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49">
        <f>'B一般'!D15+'B原料'!D15</f>
        <v>0</v>
      </c>
      <c r="E15" s="50">
        <f>'B一般'!E15+'B原料'!E15</f>
        <v>0</v>
      </c>
      <c r="F15" s="50">
        <f>'B一般'!F15+'B原料'!F15</f>
        <v>0</v>
      </c>
      <c r="G15" s="50">
        <f>'B一般'!G15+'B原料'!G15</f>
        <v>558224</v>
      </c>
      <c r="H15" s="50">
        <f>'B一般'!H15+'B原料'!H15</f>
        <v>0</v>
      </c>
      <c r="I15" s="51">
        <f>'B一般'!I15+'B原料'!I15</f>
        <v>0</v>
      </c>
      <c r="J15" s="52">
        <f>'B一般'!J15+'B原料'!J15</f>
        <v>558224</v>
      </c>
      <c r="K15" s="51">
        <f>'B一般'!K15+'B原料'!K15</f>
        <v>0</v>
      </c>
      <c r="L15" s="50">
        <f>'B一般'!L15+'B原料'!L15</f>
        <v>0</v>
      </c>
      <c r="M15" s="106">
        <f>'B一般'!M15+'B原料'!M15</f>
        <v>0</v>
      </c>
      <c r="N15" s="50">
        <f>'B一般'!N15+'B原料'!N15</f>
        <v>0</v>
      </c>
      <c r="O15" s="50">
        <f>'B一般'!O15+'B原料'!O15</f>
        <v>0</v>
      </c>
      <c r="P15" s="51">
        <f>'B一般'!P15+'B原料'!P15</f>
        <v>0</v>
      </c>
      <c r="Q15" s="52">
        <f>'B一般'!Q15+'B原料'!Q15</f>
        <v>0</v>
      </c>
      <c r="R15" s="53">
        <f>'B一般'!R15+'B原料'!R15</f>
        <v>558224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47674.78008369631</v>
      </c>
      <c r="H16" s="56">
        <f t="shared" si="6"/>
        <v>0</v>
      </c>
      <c r="I16" s="57">
        <f t="shared" si="6"/>
        <v>0</v>
      </c>
      <c r="J16" s="58">
        <f t="shared" si="6"/>
        <v>47674.78008369631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47674.78008369631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105">
        <f>'B一般'!D17+'B原料'!D17</f>
        <v>14338</v>
      </c>
      <c r="E17" s="106">
        <f>'B一般'!E17+'B原料'!E17</f>
        <v>38150</v>
      </c>
      <c r="F17" s="106">
        <f>'B一般'!F17+'B原料'!F17</f>
        <v>0</v>
      </c>
      <c r="G17" s="106">
        <f>'B一般'!G17+'B原料'!G17</f>
        <v>11457</v>
      </c>
      <c r="H17" s="106">
        <f>'B一般'!H17+'B原料'!H17</f>
        <v>20214</v>
      </c>
      <c r="I17" s="107">
        <f>'B一般'!I17+'B原料'!I17</f>
        <v>9030</v>
      </c>
      <c r="J17" s="108">
        <f>'B一般'!J17+'B原料'!J17</f>
        <v>93189</v>
      </c>
      <c r="K17" s="107">
        <f>'B一般'!K17+'B原料'!K17</f>
        <v>14750</v>
      </c>
      <c r="L17" s="106">
        <f>'B一般'!L17+'B原料'!L17</f>
        <v>27874</v>
      </c>
      <c r="M17" s="106">
        <f>'B一般'!M17+'B原料'!M17</f>
        <v>32088</v>
      </c>
      <c r="N17" s="106">
        <f>'B一般'!N17+'B原料'!N17</f>
        <v>15113</v>
      </c>
      <c r="O17" s="106">
        <f>'B一般'!O17+'B原料'!O17</f>
        <v>43335</v>
      </c>
      <c r="P17" s="107">
        <f>'B一般'!P17+'B原料'!P17</f>
        <v>32857</v>
      </c>
      <c r="Q17" s="108">
        <f>'B一般'!Q17+'B原料'!Q17</f>
        <v>166017</v>
      </c>
      <c r="R17" s="109">
        <f>'B一般'!R17+'B原料'!R17</f>
        <v>259206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105">
        <f>'B一般'!D18+'B原料'!D18</f>
        <v>627297</v>
      </c>
      <c r="E18" s="106">
        <f>'B一般'!E18+'B原料'!E18</f>
        <v>1830887</v>
      </c>
      <c r="F18" s="106">
        <f>'B一般'!F18+'B原料'!F18</f>
        <v>0</v>
      </c>
      <c r="G18" s="130">
        <f>'B一般'!G18+'B原料'!G18</f>
        <v>563535</v>
      </c>
      <c r="H18" s="106">
        <f>'B一般'!H18+'B原料'!H18</f>
        <v>995505</v>
      </c>
      <c r="I18" s="107">
        <f>'B一般'!I18+'B原料'!I18</f>
        <v>436451</v>
      </c>
      <c r="J18" s="132">
        <f>'B一般'!J18+'B原料'!J18</f>
        <v>4453675</v>
      </c>
      <c r="K18" s="107">
        <f>'B一般'!K18+'B原料'!K18</f>
        <v>841903</v>
      </c>
      <c r="L18" s="106">
        <f>'B一般'!L18+'B原料'!L18</f>
        <v>1740249</v>
      </c>
      <c r="M18" s="106">
        <f>'B一般'!M18+'B原料'!M18</f>
        <v>2273513</v>
      </c>
      <c r="N18" s="106">
        <f>'B一般'!N18+'B原料'!N18</f>
        <v>1129181</v>
      </c>
      <c r="O18" s="106">
        <f>'B一般'!O18+'B原料'!O18</f>
        <v>3358999</v>
      </c>
      <c r="P18" s="107">
        <f>'B一般'!P18+'B原料'!P18</f>
        <v>2592947</v>
      </c>
      <c r="Q18" s="108">
        <f>'B一般'!Q18+'B原料'!Q18</f>
        <v>11936792</v>
      </c>
      <c r="R18" s="135">
        <f>'B一般'!R18+'B原料'!R18</f>
        <v>16390467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7" ref="D19:I19">IF(D17=0,,D18/D17*1000)</f>
        <v>43750.66257497559</v>
      </c>
      <c r="E19" s="56">
        <f t="shared" si="7"/>
        <v>47991.79554390564</v>
      </c>
      <c r="F19" s="56">
        <f t="shared" si="7"/>
        <v>0</v>
      </c>
      <c r="G19" s="129">
        <f t="shared" si="7"/>
        <v>49186.95993715632</v>
      </c>
      <c r="H19" s="56">
        <f t="shared" si="7"/>
        <v>49248.293262095576</v>
      </c>
      <c r="I19" s="57">
        <f t="shared" si="7"/>
        <v>48333.44407530454</v>
      </c>
      <c r="J19" s="134">
        <f>(J18/J17)*1000</f>
        <v>47791.853115711085</v>
      </c>
      <c r="K19" s="57">
        <f aca="true" t="shared" si="8" ref="K19:R19">IF(K17=0,,K18/K17*1000)</f>
        <v>57078.16949152542</v>
      </c>
      <c r="L19" s="56">
        <f t="shared" si="8"/>
        <v>62432.69713711702</v>
      </c>
      <c r="M19" s="56">
        <f t="shared" si="8"/>
        <v>70852.43704811767</v>
      </c>
      <c r="N19" s="56">
        <f t="shared" si="8"/>
        <v>74715.87375107524</v>
      </c>
      <c r="O19" s="56">
        <f t="shared" si="8"/>
        <v>77512.38029306565</v>
      </c>
      <c r="P19" s="57">
        <f t="shared" si="8"/>
        <v>78916.12137444076</v>
      </c>
      <c r="Q19" s="58">
        <f t="shared" si="8"/>
        <v>71901.02218447508</v>
      </c>
      <c r="R19" s="136">
        <f t="shared" si="8"/>
        <v>63233.362653642274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105">
        <f>'B一般'!D20+'B原料'!D20</f>
        <v>74028</v>
      </c>
      <c r="E20" s="106">
        <f>'B一般'!E20+'B原料'!E20</f>
        <v>66007</v>
      </c>
      <c r="F20" s="106">
        <f>'B一般'!F20+'B原料'!F20</f>
        <v>73941</v>
      </c>
      <c r="G20" s="106">
        <f>'B一般'!G20+'B原料'!G20</f>
        <v>62142</v>
      </c>
      <c r="H20" s="106">
        <f>'B一般'!H20+'B原料'!H20</f>
        <v>79091</v>
      </c>
      <c r="I20" s="107">
        <f>'B一般'!I20+'B原料'!I20</f>
        <v>137308</v>
      </c>
      <c r="J20" s="108">
        <f>'B一般'!J20+'B原料'!J20</f>
        <v>492517</v>
      </c>
      <c r="K20" s="107">
        <f>'B一般'!K20+'B原料'!K20</f>
        <v>76618</v>
      </c>
      <c r="L20" s="106">
        <f>'B一般'!L20+'B原料'!L20</f>
        <v>81194</v>
      </c>
      <c r="M20" s="106">
        <f>'B一般'!M20+'B原料'!M20</f>
        <v>131843</v>
      </c>
      <c r="N20" s="106">
        <f>'B一般'!N20+'B原料'!N20</f>
        <v>142198</v>
      </c>
      <c r="O20" s="106">
        <f>'B一般'!O20+'B原料'!O20</f>
        <v>51298</v>
      </c>
      <c r="P20" s="107">
        <f>'B一般'!P20+'B原料'!P20</f>
        <v>187379</v>
      </c>
      <c r="Q20" s="108">
        <f>'B一般'!Q20+'B原料'!Q20</f>
        <v>670530</v>
      </c>
      <c r="R20" s="109">
        <f>'B一般'!R20+'B原料'!R20</f>
        <v>1163047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105">
        <f>'B一般'!D21+'B原料'!D21</f>
        <v>3174916</v>
      </c>
      <c r="E21" s="106">
        <f>'B一般'!E21+'B原料'!E21</f>
        <v>3032381</v>
      </c>
      <c r="F21" s="106">
        <f>'B一般'!F21+'B原料'!F21</f>
        <v>3538454</v>
      </c>
      <c r="G21" s="106">
        <f>'B一般'!G21+'B原料'!G21</f>
        <v>2987808</v>
      </c>
      <c r="H21" s="106">
        <f>'B一般'!H21+'B原料'!H21</f>
        <v>3291522</v>
      </c>
      <c r="I21" s="107">
        <f>'B一般'!I21+'B原料'!I21</f>
        <v>6830034</v>
      </c>
      <c r="J21" s="108">
        <f>'B一般'!J21+'B原料'!J21</f>
        <v>22855115</v>
      </c>
      <c r="K21" s="107">
        <f>'B一般'!K21+'B原料'!K21</f>
        <v>4278017</v>
      </c>
      <c r="L21" s="106">
        <f>'B一般'!L21+'B原料'!L21</f>
        <v>4999376</v>
      </c>
      <c r="M21" s="106">
        <f>'B一般'!M21+'B原料'!M21</f>
        <v>9356793</v>
      </c>
      <c r="N21" s="106">
        <f>'B一般'!N21+'B原料'!N21</f>
        <v>9850919</v>
      </c>
      <c r="O21" s="106">
        <f>'B一般'!O21+'B原料'!O21</f>
        <v>3826964</v>
      </c>
      <c r="P21" s="107">
        <f>'B一般'!P21+'B原料'!P21</f>
        <v>12822016</v>
      </c>
      <c r="Q21" s="108">
        <f>'B一般'!Q21+'B原料'!Q21</f>
        <v>45134085</v>
      </c>
      <c r="R21" s="109">
        <f>'B一般'!R21+'B原料'!R21</f>
        <v>67989200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9" ref="D22:I22">IF(D20=0,,D21/D20*1000)</f>
        <v>42888.042362349384</v>
      </c>
      <c r="E22" s="56">
        <f t="shared" si="9"/>
        <v>45940.29421122002</v>
      </c>
      <c r="F22" s="56">
        <f t="shared" si="9"/>
        <v>47855.10068838669</v>
      </c>
      <c r="G22" s="56">
        <f t="shared" si="9"/>
        <v>48080.332142512314</v>
      </c>
      <c r="H22" s="56">
        <f t="shared" si="9"/>
        <v>41616.89699207242</v>
      </c>
      <c r="I22" s="57">
        <f t="shared" si="9"/>
        <v>49742.433070178</v>
      </c>
      <c r="J22" s="58">
        <f>(J21/J20)*1000</f>
        <v>46404.72308570059</v>
      </c>
      <c r="K22" s="57">
        <f aca="true" t="shared" si="10" ref="K22:R22">IF(K20=0,,K21/K20*1000)</f>
        <v>55835.66524837506</v>
      </c>
      <c r="L22" s="56">
        <f t="shared" si="10"/>
        <v>61573.21969603665</v>
      </c>
      <c r="M22" s="56">
        <f t="shared" si="10"/>
        <v>70969.20579780496</v>
      </c>
      <c r="N22" s="56">
        <f t="shared" si="10"/>
        <v>69276.07279989873</v>
      </c>
      <c r="O22" s="56">
        <f t="shared" si="10"/>
        <v>74602.59659245974</v>
      </c>
      <c r="P22" s="57">
        <f t="shared" si="10"/>
        <v>68428.24436036055</v>
      </c>
      <c r="Q22" s="58">
        <f t="shared" si="10"/>
        <v>67311.0599078341</v>
      </c>
      <c r="R22" s="59">
        <f t="shared" si="10"/>
        <v>58457.826725833096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105">
        <f>'B一般'!D23+'B原料'!D23</f>
        <v>18571</v>
      </c>
      <c r="E23" s="106">
        <f>'B一般'!E23+'B原料'!E23</f>
        <v>58331</v>
      </c>
      <c r="F23" s="106">
        <f>'B一般'!F23+'B原料'!F23</f>
        <v>42835</v>
      </c>
      <c r="G23" s="106">
        <f>'B一般'!G23+'B原料'!G23</f>
        <v>56564</v>
      </c>
      <c r="H23" s="106">
        <f>'B一般'!H23+'B原料'!H23</f>
        <v>33995</v>
      </c>
      <c r="I23" s="107">
        <f>'B一般'!I23+'B原料'!I23</f>
        <v>25232</v>
      </c>
      <c r="J23" s="108">
        <f>'B一般'!J23+'B原料'!J23</f>
        <v>235528</v>
      </c>
      <c r="K23" s="107">
        <f>'B一般'!K23+'B原料'!K23</f>
        <v>98328</v>
      </c>
      <c r="L23" s="106">
        <f>'B一般'!L23+'B原料'!L23</f>
        <v>33950</v>
      </c>
      <c r="M23" s="106">
        <f>'B一般'!M23+'B原料'!M23</f>
        <v>54431</v>
      </c>
      <c r="N23" s="106">
        <f>'B一般'!N23+'B原料'!N23</f>
        <v>22235</v>
      </c>
      <c r="O23" s="106">
        <f>'B一般'!O23+'B原料'!O23</f>
        <v>59765</v>
      </c>
      <c r="P23" s="107">
        <f>'B一般'!P23+'B原料'!P23</f>
        <v>58657</v>
      </c>
      <c r="Q23" s="108">
        <f>'B一般'!Q23+'B原料'!Q23</f>
        <v>327366</v>
      </c>
      <c r="R23" s="109">
        <f>'B一般'!R23+'B原料'!R23</f>
        <v>562894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105">
        <f>'B一般'!D24+'B原料'!D24</f>
        <v>916127</v>
      </c>
      <c r="E24" s="106">
        <f>'B一般'!E24+'B原料'!E24</f>
        <v>2803064</v>
      </c>
      <c r="F24" s="106">
        <f>'B一般'!F24+'B原料'!F24</f>
        <v>2120398</v>
      </c>
      <c r="G24" s="106">
        <f>'B一般'!G24+'B原料'!G24</f>
        <v>2739632</v>
      </c>
      <c r="H24" s="106">
        <f>'B一般'!H24+'B原料'!H24</f>
        <v>1666558</v>
      </c>
      <c r="I24" s="107">
        <f>'B一般'!I24+'B原料'!I24</f>
        <v>1252071</v>
      </c>
      <c r="J24" s="108">
        <f>'B一般'!J24+'B原料'!J24</f>
        <v>11497850</v>
      </c>
      <c r="K24" s="107">
        <f>'B一般'!K24+'B原料'!K24</f>
        <v>5784105</v>
      </c>
      <c r="L24" s="106">
        <f>'B一般'!L24+'B原料'!L24</f>
        <v>2208933</v>
      </c>
      <c r="M24" s="106">
        <f>'B一般'!M24+'B原料'!M24</f>
        <v>3829106</v>
      </c>
      <c r="N24" s="106">
        <f>'B一般'!N24+'B原料'!N24</f>
        <v>1498320</v>
      </c>
      <c r="O24" s="106">
        <f>'B一般'!O24+'B原料'!O24</f>
        <v>4619660</v>
      </c>
      <c r="P24" s="107">
        <f>'B一般'!P24+'B原料'!P24</f>
        <v>4451085</v>
      </c>
      <c r="Q24" s="108">
        <f>'B一般'!Q24+'B原料'!Q24</f>
        <v>22391209</v>
      </c>
      <c r="R24" s="109">
        <f>'B一般'!R24+'B原料'!R24</f>
        <v>33889059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11" ref="D25:I25">IF(D23=0,,D24/D23*1000)</f>
        <v>49331.05379354908</v>
      </c>
      <c r="E25" s="56">
        <f t="shared" si="11"/>
        <v>48054.4478922014</v>
      </c>
      <c r="F25" s="56">
        <f t="shared" si="11"/>
        <v>49501.52912338042</v>
      </c>
      <c r="G25" s="56">
        <f t="shared" si="11"/>
        <v>48434.19843009688</v>
      </c>
      <c r="H25" s="56">
        <f t="shared" si="11"/>
        <v>49023.62112075305</v>
      </c>
      <c r="I25" s="57">
        <f t="shared" si="11"/>
        <v>49622.34464172479</v>
      </c>
      <c r="J25" s="58">
        <f>(J24/J23)*1000</f>
        <v>48817.33806596243</v>
      </c>
      <c r="K25" s="57">
        <f aca="true" t="shared" si="12" ref="K25:R25">IF(K23=0,,K24/K23*1000)</f>
        <v>58824.59726629241</v>
      </c>
      <c r="L25" s="56">
        <f t="shared" si="12"/>
        <v>65064.30044182622</v>
      </c>
      <c r="M25" s="56">
        <f t="shared" si="12"/>
        <v>70347.8899891606</v>
      </c>
      <c r="N25" s="56">
        <f t="shared" si="12"/>
        <v>67385.6532493816</v>
      </c>
      <c r="O25" s="56">
        <f t="shared" si="12"/>
        <v>77297.08023090436</v>
      </c>
      <c r="P25" s="57">
        <f t="shared" si="12"/>
        <v>75883.27053889561</v>
      </c>
      <c r="Q25" s="58">
        <f t="shared" si="12"/>
        <v>68398.08960001955</v>
      </c>
      <c r="R25" s="59">
        <f t="shared" si="12"/>
        <v>60205.045710204766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105">
        <f>'B一般'!D26+'B原料'!D26</f>
        <v>24400</v>
      </c>
      <c r="E26" s="106">
        <f>'B一般'!E26+'B原料'!E26</f>
        <v>11976</v>
      </c>
      <c r="F26" s="106">
        <f>'B一般'!F26+'B原料'!F26</f>
        <v>32706</v>
      </c>
      <c r="G26" s="106">
        <f>'B一般'!G26+'B原料'!G26</f>
        <v>21944</v>
      </c>
      <c r="H26" s="106">
        <f>'B一般'!H26+'B原料'!H26</f>
        <v>11650</v>
      </c>
      <c r="I26" s="107">
        <f>'B一般'!I26+'B原料'!I26</f>
        <v>20515</v>
      </c>
      <c r="J26" s="108">
        <f>'B一般'!J26+'B原料'!J26</f>
        <v>123191</v>
      </c>
      <c r="K26" s="107">
        <f>'B一般'!K26+'B原料'!K26</f>
        <v>26766</v>
      </c>
      <c r="L26" s="106">
        <f>'B一般'!L26+'B原料'!L26</f>
        <v>11895</v>
      </c>
      <c r="M26" s="106">
        <f>'B一般'!M26+'B原料'!M26</f>
        <v>44420</v>
      </c>
      <c r="N26" s="106">
        <f>'B一般'!N26+'B原料'!N26</f>
        <v>35461</v>
      </c>
      <c r="O26" s="106">
        <f>'B一般'!O26+'B原料'!O26</f>
        <v>7551</v>
      </c>
      <c r="P26" s="107">
        <f>'B一般'!P26+'B原料'!P26</f>
        <v>0</v>
      </c>
      <c r="Q26" s="108">
        <f>'B一般'!Q26+'B原料'!Q26</f>
        <v>126093</v>
      </c>
      <c r="R26" s="109">
        <f>'B一般'!R26+'B原料'!R26</f>
        <v>249284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105">
        <f>'B一般'!D27+'B原料'!D27</f>
        <v>1182847</v>
      </c>
      <c r="E27" s="106">
        <f>'B一般'!E27+'B原料'!E27</f>
        <v>568690</v>
      </c>
      <c r="F27" s="106">
        <f>'B一般'!F27+'B原料'!F27</f>
        <v>1585507</v>
      </c>
      <c r="G27" s="106">
        <f>'B一般'!G27+'B原料'!G27</f>
        <v>1052695</v>
      </c>
      <c r="H27" s="106">
        <f>'B一般'!H27+'B原料'!H27</f>
        <v>562258</v>
      </c>
      <c r="I27" s="107">
        <f>'B一般'!I27+'B原料'!I27</f>
        <v>1169464</v>
      </c>
      <c r="J27" s="108">
        <f>'B一般'!J27+'B原料'!J27</f>
        <v>6121461</v>
      </c>
      <c r="K27" s="107">
        <f>'B一般'!K27+'B原料'!K27</f>
        <v>1432359</v>
      </c>
      <c r="L27" s="106">
        <f>'B一般'!L27+'B原料'!L27</f>
        <v>767098</v>
      </c>
      <c r="M27" s="106">
        <f>'B一般'!M27+'B原料'!M27</f>
        <v>3087798</v>
      </c>
      <c r="N27" s="106">
        <f>'B一般'!N27+'B原料'!N27</f>
        <v>2519334</v>
      </c>
      <c r="O27" s="106">
        <f>'B一般'!O27+'B原料'!O27</f>
        <v>514385</v>
      </c>
      <c r="P27" s="107">
        <f>'B一般'!P27+'B原料'!P27</f>
        <v>0</v>
      </c>
      <c r="Q27" s="108">
        <f>'B一般'!Q27+'B原料'!Q27</f>
        <v>8320974</v>
      </c>
      <c r="R27" s="109">
        <f>'B一般'!R27+'B原料'!R27</f>
        <v>14442435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13" ref="D28:I28">IF(D26=0,,D27/D26*1000)</f>
        <v>48477.33606557377</v>
      </c>
      <c r="E28" s="56">
        <f t="shared" si="13"/>
        <v>47485.80494321977</v>
      </c>
      <c r="F28" s="56">
        <f t="shared" si="13"/>
        <v>48477.55763468477</v>
      </c>
      <c r="G28" s="56">
        <f t="shared" si="13"/>
        <v>47971.88297484506</v>
      </c>
      <c r="H28" s="56">
        <f t="shared" si="13"/>
        <v>48262.48927038627</v>
      </c>
      <c r="I28" s="57">
        <f t="shared" si="13"/>
        <v>57005.31318547404</v>
      </c>
      <c r="J28" s="58">
        <f>(J27/J26)*1000</f>
        <v>49690.81345228142</v>
      </c>
      <c r="K28" s="57">
        <f aca="true" t="shared" si="14" ref="K28:R28">IF(K26=0,,K27/K26*1000)</f>
        <v>53514.12239408204</v>
      </c>
      <c r="L28" s="56">
        <f t="shared" si="14"/>
        <v>64489.113072719636</v>
      </c>
      <c r="M28" s="56">
        <f t="shared" si="14"/>
        <v>69513.68752814048</v>
      </c>
      <c r="N28" s="56">
        <f t="shared" si="14"/>
        <v>71045.20459095908</v>
      </c>
      <c r="O28" s="56">
        <f t="shared" si="14"/>
        <v>68121.4408687591</v>
      </c>
      <c r="P28" s="57">
        <f t="shared" si="14"/>
        <v>0</v>
      </c>
      <c r="Q28" s="58">
        <f t="shared" si="14"/>
        <v>65990.76871832694</v>
      </c>
      <c r="R28" s="59">
        <f t="shared" si="14"/>
        <v>57935.667752443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105">
        <f>'B一般'!D29+'B原料'!D29</f>
        <v>428</v>
      </c>
      <c r="E29" s="106">
        <f>'B一般'!E29+'B原料'!E29</f>
        <v>347</v>
      </c>
      <c r="F29" s="106">
        <f>'B一般'!F29+'B原料'!F29</f>
        <v>350</v>
      </c>
      <c r="G29" s="106">
        <f>'B一般'!G29+'B原料'!G29</f>
        <v>476</v>
      </c>
      <c r="H29" s="106">
        <f>'B一般'!H29+'B原料'!H29</f>
        <v>665</v>
      </c>
      <c r="I29" s="107">
        <f>'B一般'!I29+'B原料'!I29</f>
        <v>1112</v>
      </c>
      <c r="J29" s="108">
        <f>'B一般'!J29+'B原料'!J29</f>
        <v>3378</v>
      </c>
      <c r="K29" s="107">
        <f>'B一般'!K29+'B原料'!K29</f>
        <v>1611</v>
      </c>
      <c r="L29" s="106">
        <f>'B一般'!L29+'B原料'!L29</f>
        <v>2305</v>
      </c>
      <c r="M29" s="106">
        <f>'B一般'!M29+'B原料'!M29</f>
        <v>2044</v>
      </c>
      <c r="N29" s="106">
        <f>'B一般'!N29+'B原料'!N29</f>
        <v>1658</v>
      </c>
      <c r="O29" s="106">
        <f>'B一般'!O29+'B原料'!O29</f>
        <v>901</v>
      </c>
      <c r="P29" s="107">
        <f>'B一般'!P29+'B原料'!P29</f>
        <v>418</v>
      </c>
      <c r="Q29" s="108">
        <f>'B一般'!Q29+'B原料'!Q29</f>
        <v>8937</v>
      </c>
      <c r="R29" s="109">
        <f>'B一般'!R29+'B原料'!R29</f>
        <v>12315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105">
        <f>'B一般'!D30+'B原料'!D30</f>
        <v>92317</v>
      </c>
      <c r="E30" s="106">
        <f>'B一般'!E30+'B原料'!E30</f>
        <v>75706</v>
      </c>
      <c r="F30" s="106">
        <f>'B一般'!F30+'B原料'!F30</f>
        <v>74444</v>
      </c>
      <c r="G30" s="106">
        <f>'B一般'!G30+'B原料'!G30</f>
        <v>101291</v>
      </c>
      <c r="H30" s="106">
        <f>'B一般'!H30+'B原料'!H30</f>
        <v>141617</v>
      </c>
      <c r="I30" s="107">
        <f>'B一般'!I30+'B原料'!I30</f>
        <v>236773</v>
      </c>
      <c r="J30" s="108">
        <f>'B一般'!J30+'B原料'!J30</f>
        <v>722148</v>
      </c>
      <c r="K30" s="107">
        <f>'B一般'!K30+'B原料'!K30</f>
        <v>352870</v>
      </c>
      <c r="L30" s="106">
        <f>'B一般'!L30+'B原料'!L30</f>
        <v>509842</v>
      </c>
      <c r="M30" s="106">
        <f>'B一般'!M30+'B原料'!M30</f>
        <v>462464</v>
      </c>
      <c r="N30" s="106">
        <f>'B一般'!N30+'B原料'!N30</f>
        <v>361906</v>
      </c>
      <c r="O30" s="106">
        <f>'B一般'!O30+'B原料'!O30</f>
        <v>198080</v>
      </c>
      <c r="P30" s="107">
        <f>'B一般'!P30+'B原料'!P30</f>
        <v>99710</v>
      </c>
      <c r="Q30" s="108">
        <f>'B一般'!Q30+'B原料'!Q30</f>
        <v>1984872</v>
      </c>
      <c r="R30" s="109">
        <f>'B一般'!R30+'B原料'!R30</f>
        <v>2707020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15" ref="D31:I31">IF(D29=0,,D30/D29*1000)</f>
        <v>215693.92523364484</v>
      </c>
      <c r="E31" s="56">
        <f t="shared" si="15"/>
        <v>218172.9106628242</v>
      </c>
      <c r="F31" s="56">
        <f t="shared" si="15"/>
        <v>212697.14285714287</v>
      </c>
      <c r="G31" s="56">
        <f t="shared" si="15"/>
        <v>212796.21848739494</v>
      </c>
      <c r="H31" s="56">
        <f t="shared" si="15"/>
        <v>212957.8947368421</v>
      </c>
      <c r="I31" s="57">
        <f t="shared" si="15"/>
        <v>212925.35971223022</v>
      </c>
      <c r="J31" s="58">
        <f>(J30/J29)*1000</f>
        <v>213779.7513321492</v>
      </c>
      <c r="K31" s="57">
        <f aca="true" t="shared" si="16" ref="K31:R31">IF(K29=0,,K30/K29*1000)</f>
        <v>219037.86468032276</v>
      </c>
      <c r="L31" s="56">
        <f t="shared" si="16"/>
        <v>221189.5878524946</v>
      </c>
      <c r="M31" s="56">
        <f t="shared" si="16"/>
        <v>226254.40313111545</v>
      </c>
      <c r="N31" s="56">
        <f t="shared" si="16"/>
        <v>218278.64897466826</v>
      </c>
      <c r="O31" s="56">
        <f t="shared" si="16"/>
        <v>219844.61709211988</v>
      </c>
      <c r="P31" s="57">
        <f t="shared" si="16"/>
        <v>238540.6698564593</v>
      </c>
      <c r="Q31" s="58">
        <f t="shared" si="16"/>
        <v>222096.00537092984</v>
      </c>
      <c r="R31" s="59">
        <f t="shared" si="16"/>
        <v>219814.85992691838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49">
        <f>'B一般'!D32+'B原料'!D32</f>
        <v>0</v>
      </c>
      <c r="E32" s="50">
        <f>'B一般'!E32+'B原料'!E32</f>
        <v>0</v>
      </c>
      <c r="F32" s="50">
        <f>'B一般'!F32+'B原料'!F32</f>
        <v>0</v>
      </c>
      <c r="G32" s="50">
        <f>'B一般'!G32+'B原料'!G32</f>
        <v>0</v>
      </c>
      <c r="H32" s="50">
        <f>'B一般'!H32+'B原料'!H32</f>
        <v>0</v>
      </c>
      <c r="I32" s="51">
        <f>'B一般'!I32+'B原料'!I32</f>
        <v>0</v>
      </c>
      <c r="J32" s="52">
        <f>'B一般'!J32+'B原料'!J32</f>
        <v>0</v>
      </c>
      <c r="K32" s="51">
        <f>'B一般'!K32+'B原料'!K32</f>
        <v>0</v>
      </c>
      <c r="L32" s="50">
        <f>'B一般'!L32+'B原料'!L32</f>
        <v>0</v>
      </c>
      <c r="M32" s="106">
        <f>'B一般'!M32+'B原料'!M32</f>
        <v>0</v>
      </c>
      <c r="N32" s="50">
        <f>'B一般'!N32+'B原料'!N32</f>
        <v>0</v>
      </c>
      <c r="O32" s="50">
        <f>'B一般'!O32+'B原料'!O32</f>
        <v>0</v>
      </c>
      <c r="P32" s="51">
        <f>'B一般'!P32+'B原料'!P32</f>
        <v>0</v>
      </c>
      <c r="Q32" s="52">
        <f>'B一般'!Q32+'B原料'!Q32</f>
        <v>0</v>
      </c>
      <c r="R32" s="53">
        <f>'B一般'!R32+'B原料'!R32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49">
        <f>'B一般'!D33+'B原料'!D33</f>
        <v>0</v>
      </c>
      <c r="E33" s="50">
        <f>'B一般'!E33+'B原料'!E33</f>
        <v>0</v>
      </c>
      <c r="F33" s="50">
        <f>'B一般'!F33+'B原料'!F33</f>
        <v>0</v>
      </c>
      <c r="G33" s="50">
        <f>'B一般'!G33+'B原料'!G33</f>
        <v>0</v>
      </c>
      <c r="H33" s="50">
        <f>'B一般'!H33+'B原料'!H33</f>
        <v>0</v>
      </c>
      <c r="I33" s="51">
        <f>'B一般'!I33+'B原料'!I33</f>
        <v>0</v>
      </c>
      <c r="J33" s="52">
        <f>'B一般'!J33+'B原料'!J33</f>
        <v>0</v>
      </c>
      <c r="K33" s="51">
        <f>'B一般'!K33+'B原料'!K33</f>
        <v>0</v>
      </c>
      <c r="L33" s="50">
        <f>'B一般'!L33+'B原料'!L33</f>
        <v>0</v>
      </c>
      <c r="M33" s="106">
        <f>'B一般'!M33+'B原料'!M33</f>
        <v>0</v>
      </c>
      <c r="N33" s="50">
        <f>'B一般'!N33+'B原料'!N33</f>
        <v>0</v>
      </c>
      <c r="O33" s="50">
        <f>'B一般'!O33+'B原料'!O33</f>
        <v>0</v>
      </c>
      <c r="P33" s="51">
        <f>'B一般'!P33+'B原料'!P33</f>
        <v>0</v>
      </c>
      <c r="Q33" s="52">
        <f>'B一般'!Q33+'B原料'!Q33</f>
        <v>0</v>
      </c>
      <c r="R33" s="53">
        <f>'B一般'!R33+'B原料'!R33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0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49">
        <f>'B一般'!D35+'B原料'!D35</f>
        <v>11872</v>
      </c>
      <c r="E35" s="50">
        <f>'B一般'!E35+'B原料'!E35</f>
        <v>0</v>
      </c>
      <c r="F35" s="106">
        <f>'B一般'!F35+'B原料'!F35</f>
        <v>9946</v>
      </c>
      <c r="G35" s="106">
        <f>'B一般'!G35+'B原料'!G35</f>
        <v>0</v>
      </c>
      <c r="H35" s="106">
        <f>'B一般'!H35+'B原料'!H35</f>
        <v>0</v>
      </c>
      <c r="I35" s="107">
        <f>'B一般'!I35+'B原料'!I35</f>
        <v>11664</v>
      </c>
      <c r="J35" s="108">
        <f>'B一般'!J35+'B原料'!J35</f>
        <v>33482</v>
      </c>
      <c r="K35" s="107">
        <f>'B一般'!K35+'B原料'!K35</f>
        <v>0</v>
      </c>
      <c r="L35" s="106">
        <f>'B一般'!L35+'B原料'!L35</f>
        <v>0</v>
      </c>
      <c r="M35" s="106">
        <f>'B一般'!M35+'B原料'!M35</f>
        <v>0</v>
      </c>
      <c r="N35" s="106">
        <f>'B一般'!N35+'B原料'!N35</f>
        <v>11858</v>
      </c>
      <c r="O35" s="106">
        <f>'B一般'!O35+'B原料'!O35</f>
        <v>0</v>
      </c>
      <c r="P35" s="107">
        <f>'B一般'!P35+'B原料'!P35</f>
        <v>0</v>
      </c>
      <c r="Q35" s="108">
        <f>'B一般'!Q35+'B原料'!Q35</f>
        <v>11858</v>
      </c>
      <c r="R35" s="109">
        <f>'B一般'!R35+'B原料'!R35</f>
        <v>45340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49">
        <f>'B一般'!D36+'B原料'!D36</f>
        <v>524001</v>
      </c>
      <c r="E36" s="50">
        <f>'B一般'!E36+'B原料'!E36</f>
        <v>0</v>
      </c>
      <c r="F36" s="106">
        <f>'B一般'!F36+'B原料'!F36</f>
        <v>458760</v>
      </c>
      <c r="G36" s="106">
        <f>'B一般'!G36+'B原料'!G36</f>
        <v>0</v>
      </c>
      <c r="H36" s="106">
        <f>'B一般'!H36+'B原料'!H36</f>
        <v>0</v>
      </c>
      <c r="I36" s="107">
        <f>'B一般'!I36+'B原料'!I36</f>
        <v>587836</v>
      </c>
      <c r="J36" s="108">
        <f>'B一般'!J36+'B原料'!J36</f>
        <v>1570597</v>
      </c>
      <c r="K36" s="107">
        <f>'B一般'!K36+'B原料'!K36</f>
        <v>0</v>
      </c>
      <c r="L36" s="106">
        <f>'B一般'!L36+'B原料'!L36</f>
        <v>0</v>
      </c>
      <c r="M36" s="106">
        <f>'B一般'!M36+'B原料'!M36</f>
        <v>0</v>
      </c>
      <c r="N36" s="106">
        <f>'B一般'!N36+'B原料'!N36</f>
        <v>798532</v>
      </c>
      <c r="O36" s="106">
        <f>'B一般'!O36+'B原料'!O36</f>
        <v>0</v>
      </c>
      <c r="P36" s="107">
        <f>'B一般'!P36+'B原料'!P36</f>
        <v>0</v>
      </c>
      <c r="Q36" s="108">
        <f>'B一般'!Q36+'B原料'!Q36</f>
        <v>798532</v>
      </c>
      <c r="R36" s="109">
        <f>'B一般'!R36+'B原料'!R36</f>
        <v>2369129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 aca="true" t="shared" si="19" ref="D37:I37">IF(D35=0,,D36/D35*1000)</f>
        <v>44137.55053908355</v>
      </c>
      <c r="E37" s="56">
        <f t="shared" si="19"/>
        <v>0</v>
      </c>
      <c r="F37" s="56">
        <f t="shared" si="19"/>
        <v>46125.07540719887</v>
      </c>
      <c r="G37" s="56">
        <f t="shared" si="19"/>
        <v>0</v>
      </c>
      <c r="H37" s="56">
        <f t="shared" si="19"/>
        <v>0</v>
      </c>
      <c r="I37" s="57">
        <f t="shared" si="19"/>
        <v>50397.4622770919</v>
      </c>
      <c r="J37" s="58">
        <f>(J36/J35)*1000</f>
        <v>46908.69721044143</v>
      </c>
      <c r="K37" s="57">
        <f aca="true" t="shared" si="20" ref="K37:R37">IF(K35=0,,K36/K35*1000)</f>
        <v>0</v>
      </c>
      <c r="L37" s="56">
        <f t="shared" si="20"/>
        <v>0</v>
      </c>
      <c r="M37" s="56">
        <f t="shared" si="20"/>
        <v>0</v>
      </c>
      <c r="N37" s="56">
        <f t="shared" si="20"/>
        <v>67341.20425029517</v>
      </c>
      <c r="O37" s="56">
        <f t="shared" si="20"/>
        <v>0</v>
      </c>
      <c r="P37" s="57">
        <f t="shared" si="20"/>
        <v>0</v>
      </c>
      <c r="Q37" s="58">
        <f t="shared" si="20"/>
        <v>67341.20425029517</v>
      </c>
      <c r="R37" s="59">
        <f t="shared" si="20"/>
        <v>52252.514336127046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105">
        <f>'B一般'!D38+'B原料'!D38</f>
        <v>74</v>
      </c>
      <c r="E38" s="106">
        <f>'B一般'!E38+'B原料'!E38</f>
        <v>109</v>
      </c>
      <c r="F38" s="106">
        <f>'B一般'!F38+'B原料'!F38</f>
        <v>12733</v>
      </c>
      <c r="G38" s="106">
        <f>'B一般'!G38+'B原料'!G38</f>
        <v>105</v>
      </c>
      <c r="H38" s="106">
        <f>'B一般'!H38+'B原料'!H38</f>
        <v>14871</v>
      </c>
      <c r="I38" s="107">
        <f>'B一般'!I38+'B原料'!I38</f>
        <v>18230</v>
      </c>
      <c r="J38" s="108">
        <f>'B一般'!J38+'B原料'!J38</f>
        <v>46122</v>
      </c>
      <c r="K38" s="107">
        <f>'B一般'!K38+'B原料'!K38</f>
        <v>279</v>
      </c>
      <c r="L38" s="106">
        <f>'B一般'!L38+'B原料'!L38</f>
        <v>167</v>
      </c>
      <c r="M38" s="106">
        <f>'B一般'!M38+'B原料'!M38</f>
        <v>78</v>
      </c>
      <c r="N38" s="106">
        <f>'B一般'!N38+'B原料'!N38</f>
        <v>117</v>
      </c>
      <c r="O38" s="106">
        <f>'B一般'!O38+'B原料'!O38</f>
        <v>33500</v>
      </c>
      <c r="P38" s="107">
        <f>'B一般'!P38+'B原料'!P38</f>
        <v>12170</v>
      </c>
      <c r="Q38" s="108">
        <f>'B一般'!Q38+'B原料'!Q38</f>
        <v>46311</v>
      </c>
      <c r="R38" s="109">
        <f>'B一般'!R38+'B原料'!R38</f>
        <v>92433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105">
        <f>'B一般'!D39+'B原料'!D39</f>
        <v>42995</v>
      </c>
      <c r="E39" s="106">
        <f>'B一般'!E39+'B原料'!E39</f>
        <v>42496</v>
      </c>
      <c r="F39" s="106">
        <f>'B一般'!F39+'B原料'!F39</f>
        <v>689904</v>
      </c>
      <c r="G39" s="106">
        <f>'B一般'!G39+'B原料'!G39</f>
        <v>41534</v>
      </c>
      <c r="H39" s="106">
        <f>'B一般'!H39+'B原料'!H39</f>
        <v>735772</v>
      </c>
      <c r="I39" s="107">
        <f>'B一般'!I39+'B原料'!I39</f>
        <v>903679</v>
      </c>
      <c r="J39" s="108">
        <f>'B一般'!J39+'B原料'!J39</f>
        <v>2456380</v>
      </c>
      <c r="K39" s="107">
        <f>'B一般'!K39+'B原料'!K39</f>
        <v>96613</v>
      </c>
      <c r="L39" s="106">
        <f>'B一般'!L39+'B原料'!L39</f>
        <v>81140</v>
      </c>
      <c r="M39" s="106">
        <f>'B一般'!M39+'B原料'!M39</f>
        <v>51775</v>
      </c>
      <c r="N39" s="106">
        <f>'B一般'!N39+'B原料'!N39</f>
        <v>68377</v>
      </c>
      <c r="O39" s="106">
        <f>'B一般'!O39+'B原料'!O39</f>
        <v>2685425</v>
      </c>
      <c r="P39" s="107">
        <f>'B一般'!P39+'B原料'!P39</f>
        <v>905368</v>
      </c>
      <c r="Q39" s="108">
        <f>'B一般'!Q39+'B原料'!Q39</f>
        <v>3888698</v>
      </c>
      <c r="R39" s="109">
        <f>'B一般'!R39+'B原料'!R39</f>
        <v>6345078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65">
        <f aca="true" t="shared" si="21" ref="D40:I40">IF(D38=0,,D39/D38*1000)</f>
        <v>581013.5135135135</v>
      </c>
      <c r="E40" s="56">
        <f t="shared" si="21"/>
        <v>389871.55963302753</v>
      </c>
      <c r="F40" s="56">
        <f t="shared" si="21"/>
        <v>54182.36079478521</v>
      </c>
      <c r="G40" s="56">
        <f t="shared" si="21"/>
        <v>395561.9047619048</v>
      </c>
      <c r="H40" s="56">
        <f t="shared" si="21"/>
        <v>49476.9685965974</v>
      </c>
      <c r="I40" s="57">
        <f t="shared" si="21"/>
        <v>49570.98189797038</v>
      </c>
      <c r="J40" s="58">
        <f>(J39/J38)*1000</f>
        <v>53258.31490395039</v>
      </c>
      <c r="K40" s="57">
        <f aca="true" t="shared" si="22" ref="K40:R40">IF(K38=0,,K39/K38*1000)</f>
        <v>346283.1541218638</v>
      </c>
      <c r="L40" s="56">
        <f t="shared" si="22"/>
        <v>485868.2634730539</v>
      </c>
      <c r="M40" s="56">
        <f t="shared" si="22"/>
        <v>663782.0512820513</v>
      </c>
      <c r="N40" s="56">
        <f t="shared" si="22"/>
        <v>584418.8034188035</v>
      </c>
      <c r="O40" s="56">
        <f t="shared" si="22"/>
        <v>80161.94029850746</v>
      </c>
      <c r="P40" s="57">
        <f t="shared" si="22"/>
        <v>74393.42645850452</v>
      </c>
      <c r="Q40" s="58">
        <f t="shared" si="22"/>
        <v>83969.2081794822</v>
      </c>
      <c r="R40" s="59">
        <f t="shared" si="22"/>
        <v>68645.15919639089</v>
      </c>
      <c r="S40" s="6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>'B一般'!D41+'B原料'!D41</f>
        <v>264762</v>
      </c>
      <c r="E41" s="106">
        <f>'B一般'!E41+'B原料'!E41</f>
        <v>283964</v>
      </c>
      <c r="F41" s="106">
        <f>'B一般'!F41+'B原料'!F41</f>
        <v>303034</v>
      </c>
      <c r="G41" s="106">
        <f>'B一般'!G41+'B原料'!G41</f>
        <v>290426</v>
      </c>
      <c r="H41" s="106">
        <f>'B一般'!H41+'B原料'!H41</f>
        <v>254831</v>
      </c>
      <c r="I41" s="107">
        <f>'B一般'!I41+'B原料'!I41</f>
        <v>357186</v>
      </c>
      <c r="J41" s="108">
        <f>'B一般'!J41+'B原料'!J41</f>
        <v>1754203</v>
      </c>
      <c r="K41" s="107">
        <f>'B一般'!K41+'B原料'!K41</f>
        <v>320271</v>
      </c>
      <c r="L41" s="106">
        <f>'B一般'!L41+'B原料'!L41</f>
        <v>273239</v>
      </c>
      <c r="M41" s="106">
        <f>'B一般'!M41+'B原料'!M41</f>
        <v>351260</v>
      </c>
      <c r="N41" s="106">
        <f>'B一般'!N41+'B原料'!N41</f>
        <v>342337</v>
      </c>
      <c r="O41" s="106">
        <f>'B一般'!O41+'B原料'!O41</f>
        <v>262548</v>
      </c>
      <c r="P41" s="107">
        <f>'B一般'!P41+'B原料'!P41</f>
        <v>462964</v>
      </c>
      <c r="Q41" s="108">
        <f>'B一般'!Q41+'B原料'!Q41</f>
        <v>2012619</v>
      </c>
      <c r="R41" s="109">
        <f>'B一般'!R41+'B原料'!R41</f>
        <v>3766822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105">
        <f>'B一般'!D42+'B原料'!D42</f>
        <v>12274912</v>
      </c>
      <c r="E42" s="106">
        <f>'B一般'!E42+'B原料'!E42</f>
        <v>13652704</v>
      </c>
      <c r="F42" s="106">
        <f>'B一般'!F42+'B原料'!F42</f>
        <v>14757366</v>
      </c>
      <c r="G42" s="130">
        <f>'B一般'!G42+'B原料'!G42</f>
        <v>14068851</v>
      </c>
      <c r="H42" s="106">
        <f>'B一般'!H42+'B原料'!H42</f>
        <v>11991302</v>
      </c>
      <c r="I42" s="107">
        <f>'B一般'!I42+'B原料'!I42</f>
        <v>18030456</v>
      </c>
      <c r="J42" s="132">
        <f>'B一般'!J42+'B原料'!J42</f>
        <v>84775591</v>
      </c>
      <c r="K42" s="107">
        <f>'B一般'!K42+'B原料'!K42</f>
        <v>18756950</v>
      </c>
      <c r="L42" s="106">
        <f>'B一般'!L42+'B原料'!L42</f>
        <v>17910257</v>
      </c>
      <c r="M42" s="106">
        <f>'B一般'!M42+'B原料'!M42</f>
        <v>25144778</v>
      </c>
      <c r="N42" s="106">
        <f>'B一般'!N42+'B原料'!N42</f>
        <v>24111242</v>
      </c>
      <c r="O42" s="106">
        <f>'B一般'!O42+'B原料'!O42</f>
        <v>20296102</v>
      </c>
      <c r="P42" s="107">
        <f>'B一般'!P42+'B原料'!P42</f>
        <v>33584531</v>
      </c>
      <c r="Q42" s="108">
        <f>'B一般'!Q42+'B原料'!Q42</f>
        <v>139803860</v>
      </c>
      <c r="R42" s="135">
        <f>'B一般'!R42+'B原料'!R42</f>
        <v>224579451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23" ref="D43:I43">IF(D41=0,,D42/D41*1000)</f>
        <v>46362.06102084136</v>
      </c>
      <c r="E43" s="56">
        <f t="shared" si="23"/>
        <v>48078.99592906143</v>
      </c>
      <c r="F43" s="56">
        <f t="shared" si="23"/>
        <v>48698.71367569316</v>
      </c>
      <c r="G43" s="129">
        <f t="shared" si="23"/>
        <v>48442.119507206655</v>
      </c>
      <c r="H43" s="56">
        <f t="shared" si="23"/>
        <v>47055.89979241144</v>
      </c>
      <c r="I43" s="57">
        <f t="shared" si="23"/>
        <v>50479.17891518705</v>
      </c>
      <c r="J43" s="134">
        <f>(J42/J41)*1000</f>
        <v>48327.12690606503</v>
      </c>
      <c r="K43" s="57">
        <f aca="true" t="shared" si="24" ref="K43:R43">IF(K41=0,,K42/K41*1000)</f>
        <v>58565.870778184726</v>
      </c>
      <c r="L43" s="56">
        <f t="shared" si="24"/>
        <v>65547.95252507877</v>
      </c>
      <c r="M43" s="56">
        <f t="shared" si="24"/>
        <v>71584.51859021807</v>
      </c>
      <c r="N43" s="56">
        <f t="shared" si="24"/>
        <v>70431.30599380143</v>
      </c>
      <c r="O43" s="56">
        <f t="shared" si="24"/>
        <v>77304.34815728934</v>
      </c>
      <c r="P43" s="57">
        <f t="shared" si="24"/>
        <v>72542.4244649692</v>
      </c>
      <c r="Q43" s="58">
        <f t="shared" si="24"/>
        <v>69463.64910596592</v>
      </c>
      <c r="R43" s="136">
        <f t="shared" si="24"/>
        <v>59620.40441518076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74">
        <f>'P一般'!D44</f>
        <v>107.15</v>
      </c>
      <c r="E44" s="64">
        <f>'P一般'!E44</f>
        <v>106.02</v>
      </c>
      <c r="F44" s="64">
        <f>'P一般'!F44</f>
        <v>107.9</v>
      </c>
      <c r="G44" s="64">
        <f>'P一般'!G44</f>
        <v>110.6</v>
      </c>
      <c r="H44" s="64">
        <f>'P一般'!H44</f>
        <v>111.54</v>
      </c>
      <c r="I44" s="63">
        <f>'P一般'!I44</f>
        <v>110.21</v>
      </c>
      <c r="J44" s="62"/>
      <c r="K44" s="63">
        <f>'P一般'!K44</f>
        <v>113.34</v>
      </c>
      <c r="L44" s="64">
        <f>'P一般'!L44</f>
        <v>116.67</v>
      </c>
      <c r="M44" s="64">
        <f>'P一般'!M44</f>
        <v>119.52</v>
      </c>
      <c r="N44" s="64">
        <f>'P一般'!N44</f>
        <v>116.1</v>
      </c>
      <c r="O44" s="64">
        <f>'P一般'!O44</f>
        <v>116.92</v>
      </c>
      <c r="P44" s="63">
        <f>'P一般'!P44</f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5" zoomScaleNormal="75" workbookViewId="0" topLeftCell="A1">
      <pane xSplit="3" ySplit="4" topLeftCell="D17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44" t="s">
        <v>73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18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66"/>
      <c r="E5" s="67"/>
      <c r="F5" s="67"/>
      <c r="G5" s="67"/>
      <c r="H5" s="67"/>
      <c r="I5" s="68"/>
      <c r="J5" s="52">
        <f>SUM(D5:I5)</f>
        <v>0</v>
      </c>
      <c r="K5" s="68"/>
      <c r="L5" s="67"/>
      <c r="M5" s="67"/>
      <c r="N5" s="67"/>
      <c r="O5" s="67"/>
      <c r="P5" s="68"/>
      <c r="Q5" s="52">
        <f>SUM(K5:P5)</f>
        <v>0</v>
      </c>
      <c r="R5" s="53">
        <f>J5+Q5</f>
        <v>0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66"/>
      <c r="E6" s="67"/>
      <c r="F6" s="67"/>
      <c r="G6" s="67"/>
      <c r="H6" s="67"/>
      <c r="I6" s="68"/>
      <c r="J6" s="52">
        <f>SUM(D6:I6)</f>
        <v>0</v>
      </c>
      <c r="K6" s="51"/>
      <c r="L6" s="50"/>
      <c r="M6" s="50"/>
      <c r="N6" s="50"/>
      <c r="O6" s="50"/>
      <c r="P6" s="51"/>
      <c r="Q6" s="52">
        <f>SUM(K6:P6)</f>
        <v>0</v>
      </c>
      <c r="R6" s="53">
        <f>J6+Q6</f>
        <v>0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I7">IF(D5=0,,D6/D5*1000)</f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7">
        <f t="shared" si="0"/>
        <v>0</v>
      </c>
      <c r="J7" s="58">
        <f aca="true" t="shared" si="1" ref="J7:R7">IF(J5=0,,J6/J5*1000)</f>
        <v>0</v>
      </c>
      <c r="K7" s="57">
        <f t="shared" si="1"/>
        <v>0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0</v>
      </c>
      <c r="P7" s="57">
        <f t="shared" si="1"/>
        <v>0</v>
      </c>
      <c r="Q7" s="58">
        <f t="shared" si="1"/>
        <v>0</v>
      </c>
      <c r="R7" s="59">
        <f t="shared" si="1"/>
        <v>0</v>
      </c>
      <c r="S7" s="60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66"/>
      <c r="E8" s="67"/>
      <c r="F8" s="67"/>
      <c r="G8" s="67"/>
      <c r="H8" s="67"/>
      <c r="I8" s="68"/>
      <c r="J8" s="52">
        <f>SUM(D8:I8)</f>
        <v>0</v>
      </c>
      <c r="K8" s="68"/>
      <c r="L8" s="67"/>
      <c r="M8" s="67"/>
      <c r="N8" s="67"/>
      <c r="O8" s="67"/>
      <c r="P8" s="68"/>
      <c r="Q8" s="52">
        <f>SUM(K8:P8)</f>
        <v>0</v>
      </c>
      <c r="R8" s="53">
        <f>J8+Q8</f>
        <v>0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66"/>
      <c r="E9" s="67"/>
      <c r="F9" s="67"/>
      <c r="G9" s="67"/>
      <c r="H9" s="67"/>
      <c r="I9" s="68"/>
      <c r="J9" s="52">
        <f>SUM(D9:I9)</f>
        <v>0</v>
      </c>
      <c r="K9" s="51"/>
      <c r="L9" s="50"/>
      <c r="M9" s="50"/>
      <c r="N9" s="50"/>
      <c r="O9" s="50"/>
      <c r="P9" s="51"/>
      <c r="Q9" s="52">
        <f>SUM(K9:P9)</f>
        <v>0</v>
      </c>
      <c r="R9" s="53">
        <f>J9+Q9</f>
        <v>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>IF(D8=0,,D9/D8*1000)</f>
        <v>0</v>
      </c>
      <c r="E10" s="56">
        <f>IF(E8=0,,E9/E8*1000)</f>
        <v>0</v>
      </c>
      <c r="F10" s="56">
        <f aca="true" t="shared" si="2" ref="F10:R10">IF(F8=0,,F9/F8*1000)</f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0</v>
      </c>
      <c r="K10" s="57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7">
        <f t="shared" si="2"/>
        <v>0</v>
      </c>
      <c r="Q10" s="58">
        <f t="shared" si="2"/>
        <v>0</v>
      </c>
      <c r="R10" s="59">
        <f t="shared" si="2"/>
        <v>0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J11+Q11</f>
        <v>0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49"/>
      <c r="E12" s="50"/>
      <c r="F12" s="50"/>
      <c r="G12" s="67"/>
      <c r="H12" s="50"/>
      <c r="I12" s="51"/>
      <c r="J12" s="52">
        <f>SUM(D12:I12)</f>
        <v>0</v>
      </c>
      <c r="K12" s="51"/>
      <c r="L12" s="50"/>
      <c r="M12" s="50"/>
      <c r="N12" s="50"/>
      <c r="O12" s="50"/>
      <c r="P12" s="51"/>
      <c r="Q12" s="52">
        <f>SUM(K12:P12)</f>
        <v>0</v>
      </c>
      <c r="R12" s="53">
        <f>J12+Q12</f>
        <v>0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>IF(D11=0,,D12/D11*1000)</f>
        <v>0</v>
      </c>
      <c r="E13" s="56">
        <f>IF(E11=0,,E12/E11*1000)</f>
        <v>0</v>
      </c>
      <c r="F13" s="56">
        <f aca="true" t="shared" si="3" ref="F13:R13">IF(F11=0,,F12/F11*1000)</f>
        <v>0</v>
      </c>
      <c r="G13" s="56">
        <f t="shared" si="3"/>
        <v>0</v>
      </c>
      <c r="H13" s="56">
        <f t="shared" si="3"/>
        <v>0</v>
      </c>
      <c r="I13" s="57">
        <f t="shared" si="3"/>
        <v>0</v>
      </c>
      <c r="J13" s="58">
        <f t="shared" si="3"/>
        <v>0</v>
      </c>
      <c r="K13" s="57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7">
        <f t="shared" si="3"/>
        <v>0</v>
      </c>
      <c r="Q13" s="58">
        <f t="shared" si="3"/>
        <v>0</v>
      </c>
      <c r="R13" s="59">
        <f t="shared" si="3"/>
        <v>0</v>
      </c>
      <c r="S13" s="60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49"/>
      <c r="E15" s="50"/>
      <c r="F15" s="50"/>
      <c r="G15" s="50"/>
      <c r="H15" s="50"/>
      <c r="I15" s="51"/>
      <c r="J15" s="52">
        <f>SUM(D15:I15)</f>
        <v>0</v>
      </c>
      <c r="K15" s="51"/>
      <c r="L15" s="50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 aca="true" t="shared" si="4" ref="F16:R16">IF(F14=0,,F15/F14*1000)</f>
        <v>0</v>
      </c>
      <c r="G16" s="56">
        <f t="shared" si="4"/>
        <v>0</v>
      </c>
      <c r="H16" s="56">
        <f t="shared" si="4"/>
        <v>0</v>
      </c>
      <c r="I16" s="57">
        <f t="shared" si="4"/>
        <v>0</v>
      </c>
      <c r="J16" s="58">
        <f t="shared" si="4"/>
        <v>0</v>
      </c>
      <c r="K16" s="57">
        <f t="shared" si="4"/>
        <v>0</v>
      </c>
      <c r="L16" s="56">
        <f t="shared" si="4"/>
        <v>0</v>
      </c>
      <c r="M16" s="56">
        <f t="shared" si="4"/>
        <v>0</v>
      </c>
      <c r="N16" s="56">
        <f t="shared" si="4"/>
        <v>0</v>
      </c>
      <c r="O16" s="56">
        <f t="shared" si="4"/>
        <v>0</v>
      </c>
      <c r="P16" s="57">
        <f t="shared" si="4"/>
        <v>0</v>
      </c>
      <c r="Q16" s="58">
        <f t="shared" si="4"/>
        <v>0</v>
      </c>
      <c r="R16" s="59">
        <f t="shared" si="4"/>
        <v>0</v>
      </c>
      <c r="S16" s="60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/>
      <c r="J17" s="52">
        <f>SUM(D17:I17)</f>
        <v>0</v>
      </c>
      <c r="K17" s="68"/>
      <c r="L17" s="67"/>
      <c r="M17" s="67"/>
      <c r="N17" s="67"/>
      <c r="O17" s="67"/>
      <c r="P17" s="68"/>
      <c r="Q17" s="52">
        <f>SUM(K17:P17)</f>
        <v>0</v>
      </c>
      <c r="R17" s="53">
        <f>J17+Q17</f>
        <v>0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66"/>
      <c r="E18" s="67"/>
      <c r="F18" s="67"/>
      <c r="G18" s="67"/>
      <c r="H18" s="67"/>
      <c r="I18" s="68"/>
      <c r="J18" s="52">
        <f>SUM(D18:I18)</f>
        <v>0</v>
      </c>
      <c r="K18" s="51"/>
      <c r="L18" s="50"/>
      <c r="M18" s="50"/>
      <c r="N18" s="50"/>
      <c r="O18" s="50"/>
      <c r="P18" s="51"/>
      <c r="Q18" s="52">
        <f>SUM(K18:P18)</f>
        <v>0</v>
      </c>
      <c r="R18" s="53">
        <f>J18+Q18</f>
        <v>0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>IF(D17=0,,D18/D17*1000)</f>
        <v>0</v>
      </c>
      <c r="E19" s="56">
        <f>IF(E17=0,,E18/E17*1000)</f>
        <v>0</v>
      </c>
      <c r="F19" s="56">
        <f aca="true" t="shared" si="5" ref="F19:R19">IF(F17=0,,F18/F17*1000)</f>
        <v>0</v>
      </c>
      <c r="G19" s="56">
        <f t="shared" si="5"/>
        <v>0</v>
      </c>
      <c r="H19" s="56">
        <f t="shared" si="5"/>
        <v>0</v>
      </c>
      <c r="I19" s="57">
        <f t="shared" si="5"/>
        <v>0</v>
      </c>
      <c r="J19" s="58">
        <f t="shared" si="5"/>
        <v>0</v>
      </c>
      <c r="K19" s="57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7">
        <f t="shared" si="5"/>
        <v>0</v>
      </c>
      <c r="Q19" s="58">
        <f t="shared" si="5"/>
        <v>0</v>
      </c>
      <c r="R19" s="59">
        <f t="shared" si="5"/>
        <v>0</v>
      </c>
      <c r="S19" s="60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66"/>
      <c r="E20" s="67"/>
      <c r="F20" s="67"/>
      <c r="G20" s="67"/>
      <c r="H20" s="67"/>
      <c r="I20" s="68"/>
      <c r="J20" s="52">
        <f>SUM(D20:I20)</f>
        <v>0</v>
      </c>
      <c r="K20" s="68"/>
      <c r="L20" s="67"/>
      <c r="M20" s="67"/>
      <c r="N20" s="67"/>
      <c r="O20" s="67"/>
      <c r="P20" s="68"/>
      <c r="Q20" s="52">
        <f>SUM(K20:P20)</f>
        <v>0</v>
      </c>
      <c r="R20" s="53">
        <f>J20+Q20</f>
        <v>0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66"/>
      <c r="E21" s="67"/>
      <c r="F21" s="67"/>
      <c r="G21" s="67"/>
      <c r="H21" s="67"/>
      <c r="I21" s="68"/>
      <c r="J21" s="52">
        <f>SUM(D21:I21)</f>
        <v>0</v>
      </c>
      <c r="K21" s="51"/>
      <c r="L21" s="50"/>
      <c r="M21" s="50"/>
      <c r="N21" s="50"/>
      <c r="O21" s="50"/>
      <c r="P21" s="51"/>
      <c r="Q21" s="52">
        <f>SUM(K21:P21)</f>
        <v>0</v>
      </c>
      <c r="R21" s="53">
        <f>J21+Q21</f>
        <v>0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>IF(D20=0,,D21/D20*1000)</f>
        <v>0</v>
      </c>
      <c r="E22" s="56">
        <f>IF(E20=0,,E21/E20*1000)</f>
        <v>0</v>
      </c>
      <c r="F22" s="56">
        <f aca="true" t="shared" si="6" ref="F22:R22">IF(F20=0,,F21/F20*1000)</f>
        <v>0</v>
      </c>
      <c r="G22" s="56">
        <f t="shared" si="6"/>
        <v>0</v>
      </c>
      <c r="H22" s="56">
        <f t="shared" si="6"/>
        <v>0</v>
      </c>
      <c r="I22" s="57">
        <f t="shared" si="6"/>
        <v>0</v>
      </c>
      <c r="J22" s="58">
        <f t="shared" si="6"/>
        <v>0</v>
      </c>
      <c r="K22" s="57">
        <f t="shared" si="6"/>
        <v>0</v>
      </c>
      <c r="L22" s="56">
        <f t="shared" si="6"/>
        <v>0</v>
      </c>
      <c r="M22" s="56">
        <f t="shared" si="6"/>
        <v>0</v>
      </c>
      <c r="N22" s="56">
        <f t="shared" si="6"/>
        <v>0</v>
      </c>
      <c r="O22" s="56">
        <f t="shared" si="6"/>
        <v>0</v>
      </c>
      <c r="P22" s="57">
        <f t="shared" si="6"/>
        <v>0</v>
      </c>
      <c r="Q22" s="58">
        <f t="shared" si="6"/>
        <v>0</v>
      </c>
      <c r="R22" s="59">
        <f t="shared" si="6"/>
        <v>0</v>
      </c>
      <c r="S22" s="60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66"/>
      <c r="E23" s="67"/>
      <c r="F23" s="67"/>
      <c r="G23" s="67"/>
      <c r="H23" s="67"/>
      <c r="I23" s="68"/>
      <c r="J23" s="52">
        <f>SUM(D23:I23)</f>
        <v>0</v>
      </c>
      <c r="K23" s="68"/>
      <c r="L23" s="67"/>
      <c r="M23" s="67"/>
      <c r="N23" s="67"/>
      <c r="O23" s="67"/>
      <c r="P23" s="68"/>
      <c r="Q23" s="52">
        <f>SUM(K23:P23)</f>
        <v>0</v>
      </c>
      <c r="R23" s="53">
        <f>J23+Q23</f>
        <v>0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66"/>
      <c r="E24" s="67"/>
      <c r="F24" s="67"/>
      <c r="G24" s="67"/>
      <c r="H24" s="67"/>
      <c r="I24" s="68"/>
      <c r="J24" s="52">
        <f>SUM(D24:I24)</f>
        <v>0</v>
      </c>
      <c r="K24" s="51"/>
      <c r="L24" s="50"/>
      <c r="M24" s="50"/>
      <c r="N24" s="50"/>
      <c r="O24" s="50"/>
      <c r="P24" s="51"/>
      <c r="Q24" s="52">
        <f>SUM(K24:P24)</f>
        <v>0</v>
      </c>
      <c r="R24" s="53">
        <f>J24+Q24</f>
        <v>0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>IF(D23=0,,D24/D23*1000)</f>
        <v>0</v>
      </c>
      <c r="E25" s="56">
        <f>IF(E23=0,,E24/E23*1000)</f>
        <v>0</v>
      </c>
      <c r="F25" s="56">
        <f aca="true" t="shared" si="7" ref="F25:R25">IF(F23=0,,F24/F23*1000)</f>
        <v>0</v>
      </c>
      <c r="G25" s="56">
        <f t="shared" si="7"/>
        <v>0</v>
      </c>
      <c r="H25" s="56">
        <f t="shared" si="7"/>
        <v>0</v>
      </c>
      <c r="I25" s="57">
        <f t="shared" si="7"/>
        <v>0</v>
      </c>
      <c r="J25" s="58">
        <f t="shared" si="7"/>
        <v>0</v>
      </c>
      <c r="K25" s="57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7">
        <f t="shared" si="7"/>
        <v>0</v>
      </c>
      <c r="Q25" s="58">
        <f t="shared" si="7"/>
        <v>0</v>
      </c>
      <c r="R25" s="59">
        <f t="shared" si="7"/>
        <v>0</v>
      </c>
      <c r="S25" s="60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52">
        <f>SUM(D26:I26)</f>
        <v>0</v>
      </c>
      <c r="K26" s="68"/>
      <c r="L26" s="67"/>
      <c r="M26" s="67"/>
      <c r="N26" s="67"/>
      <c r="O26" s="67"/>
      <c r="P26" s="68"/>
      <c r="Q26" s="52">
        <f>SUM(K26:P26)</f>
        <v>0</v>
      </c>
      <c r="R26" s="53">
        <f>J26+Q26</f>
        <v>0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52">
        <f>SUM(D27:I27)</f>
        <v>0</v>
      </c>
      <c r="K27" s="51"/>
      <c r="L27" s="50"/>
      <c r="M27" s="50"/>
      <c r="N27" s="50"/>
      <c r="O27" s="50"/>
      <c r="P27" s="51"/>
      <c r="Q27" s="52">
        <f>SUM(K27:P27)</f>
        <v>0</v>
      </c>
      <c r="R27" s="53">
        <f>J27+Q27</f>
        <v>0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>IF(D26=0,,D27/D26*1000)</f>
        <v>0</v>
      </c>
      <c r="E28" s="56">
        <f>IF(E26=0,,E27/E26*1000)</f>
        <v>0</v>
      </c>
      <c r="F28" s="56">
        <f aca="true" t="shared" si="8" ref="F28:R28">IF(F26=0,,F27/F26*1000)</f>
        <v>0</v>
      </c>
      <c r="G28" s="56">
        <f t="shared" si="8"/>
        <v>0</v>
      </c>
      <c r="H28" s="56">
        <f t="shared" si="8"/>
        <v>0</v>
      </c>
      <c r="I28" s="57">
        <f t="shared" si="8"/>
        <v>0</v>
      </c>
      <c r="J28" s="58">
        <f t="shared" si="8"/>
        <v>0</v>
      </c>
      <c r="K28" s="57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7">
        <f t="shared" si="8"/>
        <v>0</v>
      </c>
      <c r="Q28" s="58">
        <f t="shared" si="8"/>
        <v>0</v>
      </c>
      <c r="R28" s="59">
        <f t="shared" si="8"/>
        <v>0</v>
      </c>
      <c r="S28" s="60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J29+Q29</f>
        <v>0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51"/>
      <c r="L30" s="50"/>
      <c r="M30" s="50"/>
      <c r="N30" s="50"/>
      <c r="O30" s="50"/>
      <c r="P30" s="51"/>
      <c r="Q30" s="52">
        <f>SUM(K30:P30)</f>
        <v>0</v>
      </c>
      <c r="R30" s="53">
        <f>J30+Q30</f>
        <v>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>IF(D29=0,,D30/D29*1000)</f>
        <v>0</v>
      </c>
      <c r="E31" s="56">
        <f>IF(E29=0,,E30/E29*1000)</f>
        <v>0</v>
      </c>
      <c r="F31" s="56">
        <f aca="true" t="shared" si="9" ref="F31:R31">IF(F29=0,,F30/F29*1000)</f>
        <v>0</v>
      </c>
      <c r="G31" s="56">
        <f t="shared" si="9"/>
        <v>0</v>
      </c>
      <c r="H31" s="56">
        <f t="shared" si="9"/>
        <v>0</v>
      </c>
      <c r="I31" s="57">
        <f t="shared" si="9"/>
        <v>0</v>
      </c>
      <c r="J31" s="58">
        <f t="shared" si="9"/>
        <v>0</v>
      </c>
      <c r="K31" s="57">
        <f t="shared" si="9"/>
        <v>0</v>
      </c>
      <c r="L31" s="56">
        <f t="shared" si="9"/>
        <v>0</v>
      </c>
      <c r="M31" s="56">
        <f t="shared" si="9"/>
        <v>0</v>
      </c>
      <c r="N31" s="56">
        <f t="shared" si="9"/>
        <v>0</v>
      </c>
      <c r="O31" s="56">
        <f t="shared" si="9"/>
        <v>0</v>
      </c>
      <c r="P31" s="57">
        <f t="shared" si="9"/>
        <v>0</v>
      </c>
      <c r="Q31" s="58">
        <f t="shared" si="9"/>
        <v>0</v>
      </c>
      <c r="R31" s="59">
        <f t="shared" si="9"/>
        <v>0</v>
      </c>
      <c r="S31" s="60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>IF(D32=0,,D33/D32*1000)</f>
        <v>0</v>
      </c>
      <c r="E34" s="56">
        <f>IF(E32=0,,E33/E32*1000)</f>
        <v>0</v>
      </c>
      <c r="F34" s="56">
        <f aca="true" t="shared" si="10" ref="F34:R34">IF(F32=0,,F33/F32*1000)</f>
        <v>0</v>
      </c>
      <c r="G34" s="56">
        <f t="shared" si="10"/>
        <v>0</v>
      </c>
      <c r="H34" s="56">
        <f t="shared" si="10"/>
        <v>0</v>
      </c>
      <c r="I34" s="57">
        <f t="shared" si="10"/>
        <v>0</v>
      </c>
      <c r="J34" s="58">
        <f t="shared" si="10"/>
        <v>0</v>
      </c>
      <c r="K34" s="57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0</v>
      </c>
      <c r="O34" s="56">
        <f t="shared" si="10"/>
        <v>0</v>
      </c>
      <c r="P34" s="57">
        <f t="shared" si="10"/>
        <v>0</v>
      </c>
      <c r="Q34" s="58">
        <f t="shared" si="10"/>
        <v>0</v>
      </c>
      <c r="R34" s="59">
        <f t="shared" si="10"/>
        <v>0</v>
      </c>
      <c r="S34" s="60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J35+Q35</f>
        <v>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49"/>
      <c r="E36" s="67"/>
      <c r="F36" s="50"/>
      <c r="G36" s="50"/>
      <c r="H36" s="50"/>
      <c r="I36" s="51"/>
      <c r="J36" s="52">
        <f>SUM(D36:I36)</f>
        <v>0</v>
      </c>
      <c r="K36" s="51"/>
      <c r="L36" s="50"/>
      <c r="M36" s="50"/>
      <c r="N36" s="50"/>
      <c r="O36" s="50"/>
      <c r="P36" s="51"/>
      <c r="Q36" s="52">
        <f>SUM(K36:P36)</f>
        <v>0</v>
      </c>
      <c r="R36" s="53">
        <f>J36+Q36</f>
        <v>0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>IF(D35=0,,D36/D35*1000)</f>
        <v>0</v>
      </c>
      <c r="E37" s="56">
        <f>IF(E35=0,,E36/E35*1000)</f>
        <v>0</v>
      </c>
      <c r="F37" s="56">
        <f aca="true" t="shared" si="11" ref="F37:R37">IF(F35=0,,F36/F35*1000)</f>
        <v>0</v>
      </c>
      <c r="G37" s="56">
        <f t="shared" si="11"/>
        <v>0</v>
      </c>
      <c r="H37" s="56">
        <f t="shared" si="11"/>
        <v>0</v>
      </c>
      <c r="I37" s="57">
        <f t="shared" si="11"/>
        <v>0</v>
      </c>
      <c r="J37" s="58">
        <f t="shared" si="11"/>
        <v>0</v>
      </c>
      <c r="K37" s="57">
        <f t="shared" si="11"/>
        <v>0</v>
      </c>
      <c r="L37" s="56">
        <f t="shared" si="11"/>
        <v>0</v>
      </c>
      <c r="M37" s="56">
        <f t="shared" si="11"/>
        <v>0</v>
      </c>
      <c r="N37" s="56">
        <f t="shared" si="11"/>
        <v>0</v>
      </c>
      <c r="O37" s="56">
        <f t="shared" si="11"/>
        <v>0</v>
      </c>
      <c r="P37" s="57">
        <f t="shared" si="11"/>
        <v>0</v>
      </c>
      <c r="Q37" s="58">
        <f t="shared" si="11"/>
        <v>0</v>
      </c>
      <c r="R37" s="59">
        <f t="shared" si="11"/>
        <v>0</v>
      </c>
      <c r="S37" s="60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66">
        <v>52</v>
      </c>
      <c r="E38" s="67">
        <v>29</v>
      </c>
      <c r="F38" s="67">
        <v>10</v>
      </c>
      <c r="G38" s="67">
        <v>0</v>
      </c>
      <c r="H38" s="111">
        <v>9</v>
      </c>
      <c r="I38" s="68"/>
      <c r="J38" s="108">
        <f>SUM(D38:I38)</f>
        <v>100</v>
      </c>
      <c r="K38" s="68">
        <v>11</v>
      </c>
      <c r="L38" s="67">
        <v>24</v>
      </c>
      <c r="M38" s="111">
        <v>0</v>
      </c>
      <c r="N38" s="67">
        <v>10</v>
      </c>
      <c r="O38" s="67">
        <v>12</v>
      </c>
      <c r="P38" s="68">
        <v>13</v>
      </c>
      <c r="Q38" s="108">
        <f>SUM(K38:P38)</f>
        <v>70</v>
      </c>
      <c r="R38" s="109">
        <f>J38+Q38</f>
        <v>170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66">
        <v>25318</v>
      </c>
      <c r="E39" s="67">
        <v>11211</v>
      </c>
      <c r="F39" s="67">
        <v>11074</v>
      </c>
      <c r="G39" s="67">
        <v>1064</v>
      </c>
      <c r="H39" s="67">
        <v>10938</v>
      </c>
      <c r="I39" s="68">
        <v>2492</v>
      </c>
      <c r="J39" s="108">
        <f>SUM(D39:I39)</f>
        <v>62097</v>
      </c>
      <c r="K39" s="107">
        <v>12937</v>
      </c>
      <c r="L39" s="106">
        <v>15384</v>
      </c>
      <c r="M39" s="106">
        <v>5381</v>
      </c>
      <c r="N39" s="106">
        <v>16335</v>
      </c>
      <c r="O39" s="106">
        <v>13887</v>
      </c>
      <c r="P39" s="107">
        <v>11890</v>
      </c>
      <c r="Q39" s="108">
        <f>SUM(K39:P39)</f>
        <v>75814</v>
      </c>
      <c r="R39" s="109">
        <f>J39+Q39</f>
        <v>137911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65">
        <f aca="true" t="shared" si="12" ref="D40:I40">IF(D38=0,,D39/D38*1000)</f>
        <v>486884.6153846154</v>
      </c>
      <c r="E40" s="56">
        <f t="shared" si="12"/>
        <v>386586.20689655177</v>
      </c>
      <c r="F40" s="56">
        <f t="shared" si="12"/>
        <v>1107400</v>
      </c>
      <c r="G40" s="56">
        <f t="shared" si="12"/>
        <v>0</v>
      </c>
      <c r="H40" s="56">
        <f t="shared" si="12"/>
        <v>1215333.3333333333</v>
      </c>
      <c r="I40" s="57">
        <f t="shared" si="12"/>
        <v>0</v>
      </c>
      <c r="J40" s="58">
        <f aca="true" t="shared" si="13" ref="J40:R40">IF(J38=0,,J39/J38*1000)</f>
        <v>620970</v>
      </c>
      <c r="K40" s="57">
        <f t="shared" si="13"/>
        <v>1176090.909090909</v>
      </c>
      <c r="L40" s="56">
        <f t="shared" si="13"/>
        <v>641000</v>
      </c>
      <c r="M40" s="56">
        <f t="shared" si="13"/>
        <v>0</v>
      </c>
      <c r="N40" s="56">
        <f t="shared" si="13"/>
        <v>1633500</v>
      </c>
      <c r="O40" s="56">
        <f t="shared" si="13"/>
        <v>1157250</v>
      </c>
      <c r="P40" s="57">
        <f t="shared" si="13"/>
        <v>914615.3846153846</v>
      </c>
      <c r="Q40" s="58">
        <f t="shared" si="13"/>
        <v>1083057.142857143</v>
      </c>
      <c r="R40" s="59">
        <f t="shared" si="13"/>
        <v>811241.1764705882</v>
      </c>
      <c r="S40" s="60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 aca="true" t="shared" si="14" ref="D41:I42">D5+D8+D11+D14+D17+D20+D23+D26+D29+D32+D35+D38</f>
        <v>52</v>
      </c>
      <c r="E41" s="106">
        <f t="shared" si="14"/>
        <v>29</v>
      </c>
      <c r="F41" s="106">
        <f t="shared" si="14"/>
        <v>10</v>
      </c>
      <c r="G41" s="106">
        <f t="shared" si="14"/>
        <v>0</v>
      </c>
      <c r="H41" s="110">
        <f t="shared" si="14"/>
        <v>9</v>
      </c>
      <c r="I41" s="107">
        <f t="shared" si="14"/>
        <v>0</v>
      </c>
      <c r="J41" s="108">
        <f>SUM(D41:I41)</f>
        <v>100</v>
      </c>
      <c r="K41" s="107">
        <f aca="true" t="shared" si="15" ref="K41:P42">K5+K8+K11+K14+K17+K20+K23+K26+K29+K32+K35+K38</f>
        <v>11</v>
      </c>
      <c r="L41" s="106">
        <f t="shared" si="15"/>
        <v>24</v>
      </c>
      <c r="M41" s="110">
        <f t="shared" si="15"/>
        <v>0</v>
      </c>
      <c r="N41" s="106">
        <f t="shared" si="15"/>
        <v>10</v>
      </c>
      <c r="O41" s="106">
        <f t="shared" si="15"/>
        <v>12</v>
      </c>
      <c r="P41" s="107">
        <f t="shared" si="15"/>
        <v>13</v>
      </c>
      <c r="Q41" s="108">
        <f>SUM(K41:P41)</f>
        <v>70</v>
      </c>
      <c r="R41" s="109">
        <f>J41+Q41</f>
        <v>170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66">
        <f t="shared" si="14"/>
        <v>25318</v>
      </c>
      <c r="E42" s="106">
        <f t="shared" si="14"/>
        <v>11211</v>
      </c>
      <c r="F42" s="106">
        <f t="shared" si="14"/>
        <v>11074</v>
      </c>
      <c r="G42" s="67">
        <f t="shared" si="14"/>
        <v>1064</v>
      </c>
      <c r="H42" s="67">
        <f t="shared" si="14"/>
        <v>10938</v>
      </c>
      <c r="I42" s="107">
        <f t="shared" si="14"/>
        <v>2492</v>
      </c>
      <c r="J42" s="108">
        <f>SUM(D42:I42)</f>
        <v>62097</v>
      </c>
      <c r="K42" s="107">
        <f t="shared" si="15"/>
        <v>12937</v>
      </c>
      <c r="L42" s="106">
        <f t="shared" si="15"/>
        <v>15384</v>
      </c>
      <c r="M42" s="106">
        <f t="shared" si="15"/>
        <v>5381</v>
      </c>
      <c r="N42" s="106">
        <f t="shared" si="15"/>
        <v>16335</v>
      </c>
      <c r="O42" s="106">
        <f t="shared" si="15"/>
        <v>13887</v>
      </c>
      <c r="P42" s="107">
        <f t="shared" si="15"/>
        <v>11890</v>
      </c>
      <c r="Q42" s="108">
        <f>SUM(K42:P42)</f>
        <v>75814</v>
      </c>
      <c r="R42" s="109">
        <f>J42+Q42</f>
        <v>137911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16" ref="D43:I43">IF(D41=0,,D42/D41*1000)</f>
        <v>486884.6153846154</v>
      </c>
      <c r="E43" s="56">
        <f t="shared" si="16"/>
        <v>386586.20689655177</v>
      </c>
      <c r="F43" s="56">
        <f t="shared" si="16"/>
        <v>1107400</v>
      </c>
      <c r="G43" s="56">
        <f t="shared" si="16"/>
        <v>0</v>
      </c>
      <c r="H43" s="56">
        <f t="shared" si="16"/>
        <v>1215333.3333333333</v>
      </c>
      <c r="I43" s="57">
        <f t="shared" si="16"/>
        <v>0</v>
      </c>
      <c r="J43" s="58">
        <f aca="true" t="shared" si="17" ref="J43:R43">IF(J41=0,,J42/J41*1000)</f>
        <v>620970</v>
      </c>
      <c r="K43" s="57">
        <f t="shared" si="17"/>
        <v>1176090.909090909</v>
      </c>
      <c r="L43" s="56">
        <f t="shared" si="17"/>
        <v>641000</v>
      </c>
      <c r="M43" s="56">
        <f t="shared" si="17"/>
        <v>0</v>
      </c>
      <c r="N43" s="56">
        <f t="shared" si="17"/>
        <v>1633500</v>
      </c>
      <c r="O43" s="56">
        <f t="shared" si="17"/>
        <v>1157250</v>
      </c>
      <c r="P43" s="57">
        <f t="shared" si="17"/>
        <v>914615.3846153846</v>
      </c>
      <c r="Q43" s="58">
        <f t="shared" si="17"/>
        <v>1083057.142857143</v>
      </c>
      <c r="R43" s="59">
        <f t="shared" si="17"/>
        <v>811241.1764705882</v>
      </c>
      <c r="S43" s="60"/>
    </row>
    <row r="44" spans="1:19" s="46" customFormat="1" ht="24" customHeight="1" thickBot="1">
      <c r="A44" s="162" t="s">
        <v>23</v>
      </c>
      <c r="B44" s="163"/>
      <c r="C44" s="164"/>
      <c r="D44" s="85">
        <v>107.15</v>
      </c>
      <c r="E44" s="86">
        <v>106.02</v>
      </c>
      <c r="F44" s="127">
        <v>107.9</v>
      </c>
      <c r="G44" s="87">
        <v>110.6</v>
      </c>
      <c r="H44" s="87">
        <v>111.54</v>
      </c>
      <c r="I44" s="61">
        <v>110.21</v>
      </c>
      <c r="J44" s="62"/>
      <c r="K44" s="63">
        <v>113.34</v>
      </c>
      <c r="L44" s="112">
        <v>116.67</v>
      </c>
      <c r="M44" s="64">
        <v>119.52</v>
      </c>
      <c r="N44" s="64">
        <v>116.1</v>
      </c>
      <c r="O44" s="87">
        <v>116.92</v>
      </c>
      <c r="P44" s="88">
        <v>117.49</v>
      </c>
      <c r="Q44" s="89">
        <v>116.86264639448166</v>
      </c>
      <c r="R44" s="84">
        <v>113.05614996656949</v>
      </c>
      <c r="S44" s="45"/>
    </row>
    <row r="45" ht="15.75" customHeight="1">
      <c r="A45" s="113" t="s">
        <v>79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5" zoomScaleNormal="75" zoomScaleSheetLayoutView="40" workbookViewId="0" topLeftCell="A1">
      <pane xSplit="3" ySplit="4" topLeftCell="D17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5742187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7" t="s">
        <v>7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71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105">
        <f>'P一般'!D5+'B一般'!D5</f>
        <v>369177</v>
      </c>
      <c r="E5" s="106">
        <f>'P一般'!E5+'B一般'!E5</f>
        <v>400937</v>
      </c>
      <c r="F5" s="106">
        <f>'P一般'!F5+'B一般'!F5</f>
        <v>542875</v>
      </c>
      <c r="G5" s="106">
        <f>'P一般'!G5+'B一般'!G5</f>
        <v>472220</v>
      </c>
      <c r="H5" s="106">
        <f>'P一般'!H5+'B一般'!H5</f>
        <v>344517</v>
      </c>
      <c r="I5" s="107">
        <f>'P一般'!I5+'B一般'!I5</f>
        <v>385811</v>
      </c>
      <c r="J5" s="108">
        <f>SUM(D5:I5)</f>
        <v>2515537</v>
      </c>
      <c r="K5" s="107">
        <f>'P一般'!K5+'B一般'!K5</f>
        <v>362247</v>
      </c>
      <c r="L5" s="106">
        <f>'P一般'!L5+'B一般'!L5</f>
        <v>369695</v>
      </c>
      <c r="M5" s="106">
        <f>'P一般'!M5+'B一般'!M5</f>
        <v>457842</v>
      </c>
      <c r="N5" s="106">
        <f>'P一般'!N5+'B一般'!N5</f>
        <v>506868</v>
      </c>
      <c r="O5" s="106">
        <f>'P一般'!O5+'B一般'!O5</f>
        <v>495263</v>
      </c>
      <c r="P5" s="107">
        <f>'P一般'!P5+'B一般'!P5</f>
        <v>488847</v>
      </c>
      <c r="Q5" s="108">
        <f>SUM(K5:P5)</f>
        <v>2680762</v>
      </c>
      <c r="R5" s="109">
        <f>J5+Q5</f>
        <v>5196299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105">
        <f>'P一般'!D6+'B一般'!D6</f>
        <v>17451095</v>
      </c>
      <c r="E6" s="106">
        <f>'P一般'!E6+'B一般'!E6</f>
        <v>19381090</v>
      </c>
      <c r="F6" s="106">
        <f>'P一般'!F6+'B一般'!F6</f>
        <v>26174123</v>
      </c>
      <c r="G6" s="106">
        <f>'P一般'!G6+'B一般'!G6</f>
        <v>22281812</v>
      </c>
      <c r="H6" s="130">
        <f>'P一般'!H6+'B一般'!H6</f>
        <v>16929869</v>
      </c>
      <c r="I6" s="139">
        <f>'P一般'!I6+'B一般'!I6</f>
        <v>18951562</v>
      </c>
      <c r="J6" s="132">
        <f>SUM(D6:I6)</f>
        <v>121169551</v>
      </c>
      <c r="K6" s="107">
        <f>'P一般'!K6+'B一般'!K6</f>
        <v>19807796</v>
      </c>
      <c r="L6" s="106">
        <f>'P一般'!L6+'B一般'!L6</f>
        <v>23605599</v>
      </c>
      <c r="M6" s="106">
        <f>'P一般'!M6+'B一般'!M6</f>
        <v>31230203</v>
      </c>
      <c r="N6" s="106">
        <f>'P一般'!N6+'B一般'!N6</f>
        <v>34228685</v>
      </c>
      <c r="O6" s="106">
        <f>'P一般'!O6+'B一般'!O6</f>
        <v>36517377</v>
      </c>
      <c r="P6" s="107">
        <f>'P一般'!P6+'B一般'!P6</f>
        <v>36114041</v>
      </c>
      <c r="Q6" s="108">
        <f>SUM(K6:P6)</f>
        <v>181503701</v>
      </c>
      <c r="R6" s="135">
        <f>J6+Q6</f>
        <v>302673252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R7">IF(D5=0,"",(D6/D5)*1000)</f>
        <v>47270.26602415644</v>
      </c>
      <c r="E7" s="56">
        <f t="shared" si="0"/>
        <v>48339.4897452717</v>
      </c>
      <c r="F7" s="56">
        <f t="shared" si="0"/>
        <v>48213.903753166014</v>
      </c>
      <c r="G7" s="56">
        <f t="shared" si="0"/>
        <v>47185.2356952268</v>
      </c>
      <c r="H7" s="129">
        <f t="shared" si="0"/>
        <v>49140.88129177951</v>
      </c>
      <c r="I7" s="133">
        <f t="shared" si="0"/>
        <v>49121.36253243168</v>
      </c>
      <c r="J7" s="134">
        <f t="shared" si="0"/>
        <v>48168.46303592434</v>
      </c>
      <c r="K7" s="57">
        <f t="shared" si="0"/>
        <v>54680.35898157887</v>
      </c>
      <c r="L7" s="56">
        <f t="shared" si="0"/>
        <v>63851.550602523705</v>
      </c>
      <c r="M7" s="56">
        <f t="shared" si="0"/>
        <v>68211.74772082944</v>
      </c>
      <c r="N7" s="56">
        <f t="shared" si="0"/>
        <v>67529.7809291571</v>
      </c>
      <c r="O7" s="56">
        <f t="shared" si="0"/>
        <v>73733.30331561211</v>
      </c>
      <c r="P7" s="57">
        <f t="shared" si="0"/>
        <v>73875.95914468126</v>
      </c>
      <c r="Q7" s="58">
        <f t="shared" si="0"/>
        <v>67706.0108282645</v>
      </c>
      <c r="R7" s="136">
        <f t="shared" si="0"/>
        <v>58247.85140347004</v>
      </c>
      <c r="S7" s="45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05">
        <f>'P一般'!D8+'B一般'!D8</f>
        <v>110176</v>
      </c>
      <c r="E8" s="106">
        <f>'P一般'!E8+'B一般'!E8</f>
        <v>152097</v>
      </c>
      <c r="F8" s="106">
        <f>'P一般'!F8+'B一般'!F8</f>
        <v>101144</v>
      </c>
      <c r="G8" s="106">
        <f>'P一般'!G8+'B一般'!G8</f>
        <v>96210</v>
      </c>
      <c r="H8" s="106">
        <f>'P一般'!H8+'B一般'!H8</f>
        <v>117335</v>
      </c>
      <c r="I8" s="107">
        <f>'P一般'!I8+'B一般'!I8</f>
        <v>114422</v>
      </c>
      <c r="J8" s="108">
        <f>SUM(D8:I8)</f>
        <v>691384</v>
      </c>
      <c r="K8" s="107">
        <f>'P一般'!K8+'B一般'!K8</f>
        <v>68468</v>
      </c>
      <c r="L8" s="106">
        <f>'P一般'!L8+'B一般'!L8</f>
        <v>76442</v>
      </c>
      <c r="M8" s="106">
        <f>'P一般'!M8+'B一般'!M8</f>
        <v>128753</v>
      </c>
      <c r="N8" s="106">
        <f>'P一般'!N8+'B一般'!N8</f>
        <v>187756</v>
      </c>
      <c r="O8" s="106">
        <f>'P一般'!O8+'B一般'!O8</f>
        <v>108576</v>
      </c>
      <c r="P8" s="107">
        <f>'P一般'!P8+'B一般'!P8</f>
        <v>171481</v>
      </c>
      <c r="Q8" s="108">
        <f>SUM(K8:P8)</f>
        <v>741476</v>
      </c>
      <c r="R8" s="109">
        <f>J8+Q8</f>
        <v>1432860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05">
        <f>'P一般'!D9+'B一般'!D9</f>
        <v>5220722</v>
      </c>
      <c r="E9" s="106">
        <f>'P一般'!E9+'B一般'!E9</f>
        <v>7294725</v>
      </c>
      <c r="F9" s="106">
        <f>'P一般'!F9+'B一般'!F9</f>
        <v>4827108</v>
      </c>
      <c r="G9" s="106">
        <f>'P一般'!G9+'B一般'!G9</f>
        <v>4560266</v>
      </c>
      <c r="H9" s="106">
        <f>'P一般'!H9+'B一般'!H9</f>
        <v>5652167</v>
      </c>
      <c r="I9" s="107">
        <f>'P一般'!I9+'B一般'!I9</f>
        <v>5607984</v>
      </c>
      <c r="J9" s="108">
        <f>SUM(D9:I9)</f>
        <v>33162972</v>
      </c>
      <c r="K9" s="107">
        <f>'P一般'!K9+'B一般'!K9</f>
        <v>3658486</v>
      </c>
      <c r="L9" s="106">
        <f>'P一般'!L9+'B一般'!L9</f>
        <v>4926391</v>
      </c>
      <c r="M9" s="106">
        <f>'P一般'!M9+'B一般'!M9</f>
        <v>8771620</v>
      </c>
      <c r="N9" s="106">
        <f>'P一般'!N9+'B一般'!N9</f>
        <v>12697060</v>
      </c>
      <c r="O9" s="106">
        <f>'P一般'!O9+'B一般'!O9</f>
        <v>8150243</v>
      </c>
      <c r="P9" s="107">
        <f>'P一般'!P9+'B一般'!P9</f>
        <v>12546139</v>
      </c>
      <c r="Q9" s="108">
        <f>SUM(K9:P9)</f>
        <v>50749939</v>
      </c>
      <c r="R9" s="109">
        <f>J9+Q9</f>
        <v>83912911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1" ref="D10:R10">IF(D8=0,"",(D9/D8)*1000)</f>
        <v>47385.292622712754</v>
      </c>
      <c r="E10" s="56">
        <f t="shared" si="1"/>
        <v>47961.005148030534</v>
      </c>
      <c r="F10" s="56">
        <f t="shared" si="1"/>
        <v>47725.10480107569</v>
      </c>
      <c r="G10" s="56">
        <f t="shared" si="1"/>
        <v>47399.08533416485</v>
      </c>
      <c r="H10" s="56">
        <f t="shared" si="1"/>
        <v>48171.19359100013</v>
      </c>
      <c r="I10" s="57">
        <f t="shared" si="1"/>
        <v>49011.41388893744</v>
      </c>
      <c r="J10" s="58">
        <f t="shared" si="1"/>
        <v>47966.06806058573</v>
      </c>
      <c r="K10" s="57">
        <f t="shared" si="1"/>
        <v>53433.51638721739</v>
      </c>
      <c r="L10" s="56">
        <f t="shared" si="1"/>
        <v>64446.12909133723</v>
      </c>
      <c r="M10" s="56">
        <f t="shared" si="1"/>
        <v>68127.49994174893</v>
      </c>
      <c r="N10" s="56">
        <f t="shared" si="1"/>
        <v>67625.32222671979</v>
      </c>
      <c r="O10" s="56">
        <f t="shared" si="1"/>
        <v>75064.86700559976</v>
      </c>
      <c r="P10" s="57">
        <f t="shared" si="1"/>
        <v>73163.43501612423</v>
      </c>
      <c r="Q10" s="58">
        <f t="shared" si="1"/>
        <v>68444.47965948998</v>
      </c>
      <c r="R10" s="59">
        <f t="shared" si="1"/>
        <v>58563.23088089555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105">
        <f>'P一般'!D11+'B一般'!D11</f>
        <v>89016</v>
      </c>
      <c r="E11" s="106">
        <f>'P一般'!E11+'B一般'!E11</f>
        <v>31413</v>
      </c>
      <c r="F11" s="106">
        <f>'P一般'!F11+'B一般'!F11</f>
        <v>0</v>
      </c>
      <c r="G11" s="106">
        <f>'P一般'!G11+'B一般'!G11</f>
        <v>0</v>
      </c>
      <c r="H11" s="106">
        <f>'P一般'!H11+'B一般'!H11</f>
        <v>0</v>
      </c>
      <c r="I11" s="107">
        <f>'P一般'!I11+'B一般'!I11</f>
        <v>26256</v>
      </c>
      <c r="J11" s="108">
        <f>SUM(D11:I11)</f>
        <v>146685</v>
      </c>
      <c r="K11" s="107">
        <f>'P一般'!K11+'B一般'!K11</f>
        <v>24387</v>
      </c>
      <c r="L11" s="106">
        <f>'P一般'!L11+'B一般'!L11</f>
        <v>43825</v>
      </c>
      <c r="M11" s="106">
        <f>'P一般'!M11+'B一般'!M11</f>
        <v>0</v>
      </c>
      <c r="N11" s="106">
        <f>'P一般'!N11+'B一般'!N11</f>
        <v>0</v>
      </c>
      <c r="O11" s="106">
        <f>'P一般'!O11+'B一般'!O11</f>
        <v>19043</v>
      </c>
      <c r="P11" s="107">
        <f>'P一般'!P11+'B一般'!P11</f>
        <v>116035</v>
      </c>
      <c r="Q11" s="108">
        <f>SUM(K11:P11)</f>
        <v>203290</v>
      </c>
      <c r="R11" s="109">
        <f>J11+Q11</f>
        <v>349975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105">
        <f>'P一般'!D12+'B一般'!D12</f>
        <v>4146415</v>
      </c>
      <c r="E12" s="106">
        <f>'P一般'!E12+'B一般'!E12</f>
        <v>1528086</v>
      </c>
      <c r="F12" s="106">
        <f>'P一般'!F12+'B一般'!F12</f>
        <v>0</v>
      </c>
      <c r="G12" s="106">
        <f>'P一般'!G12+'B一般'!G12</f>
        <v>0</v>
      </c>
      <c r="H12" s="106">
        <f>'P一般'!H12+'B一般'!H12</f>
        <v>0</v>
      </c>
      <c r="I12" s="107">
        <f>'P一般'!I12+'B一般'!I12</f>
        <v>1249613</v>
      </c>
      <c r="J12" s="108">
        <f>SUM(D12:I12)</f>
        <v>6924114</v>
      </c>
      <c r="K12" s="107">
        <f>'P一般'!K12+'B一般'!K12</f>
        <v>1340749</v>
      </c>
      <c r="L12" s="106">
        <f>'P一般'!L12+'B一般'!L12</f>
        <v>2383104</v>
      </c>
      <c r="M12" s="106">
        <f>'P一般'!M12+'B一般'!M12</f>
        <v>0</v>
      </c>
      <c r="N12" s="106">
        <f>'P一般'!N12+'B一般'!N12</f>
        <v>0</v>
      </c>
      <c r="O12" s="106">
        <f>'P一般'!O12+'B一般'!O12</f>
        <v>1518870</v>
      </c>
      <c r="P12" s="107">
        <f>'P一般'!P12+'B一般'!P12</f>
        <v>8915152</v>
      </c>
      <c r="Q12" s="108">
        <f>SUM(K12:P12)</f>
        <v>14157875</v>
      </c>
      <c r="R12" s="109">
        <f>J12+Q12</f>
        <v>21081989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2" ref="D13:R13">IF(D11=0,"",(D12/D11)*1000)</f>
        <v>46580.55855127168</v>
      </c>
      <c r="E13" s="56">
        <f t="shared" si="2"/>
        <v>48645.019577881765</v>
      </c>
      <c r="F13" s="56">
        <f t="shared" si="2"/>
      </c>
      <c r="G13" s="56">
        <f t="shared" si="2"/>
      </c>
      <c r="H13" s="56">
        <f t="shared" si="2"/>
      </c>
      <c r="I13" s="57">
        <f t="shared" si="2"/>
        <v>47593.42626447288</v>
      </c>
      <c r="J13" s="58">
        <f t="shared" si="2"/>
        <v>47203.96768585745</v>
      </c>
      <c r="K13" s="57">
        <f t="shared" si="2"/>
        <v>54978.02107680322</v>
      </c>
      <c r="L13" s="56">
        <f t="shared" si="2"/>
        <v>54377.729606389046</v>
      </c>
      <c r="M13" s="56">
        <f t="shared" si="2"/>
      </c>
      <c r="N13" s="56">
        <f t="shared" si="2"/>
      </c>
      <c r="O13" s="56">
        <f t="shared" si="2"/>
        <v>79760.016804075</v>
      </c>
      <c r="P13" s="57">
        <f t="shared" si="2"/>
        <v>76831.57667945017</v>
      </c>
      <c r="Q13" s="58">
        <f t="shared" si="2"/>
        <v>69643.73555019923</v>
      </c>
      <c r="R13" s="59">
        <f t="shared" si="2"/>
        <v>60238.55703978855</v>
      </c>
      <c r="S13" s="45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105">
        <f>'P一般'!D14+'B一般'!D14</f>
        <v>8507</v>
      </c>
      <c r="E14" s="106">
        <f>'P一般'!E14+'B一般'!E14</f>
        <v>0</v>
      </c>
      <c r="F14" s="106">
        <f>'P一般'!F14+'B一般'!F14</f>
        <v>0</v>
      </c>
      <c r="G14" s="106">
        <f>'P一般'!G14+'B一般'!G14</f>
        <v>42472</v>
      </c>
      <c r="H14" s="106">
        <f>'P一般'!H14+'B一般'!H14</f>
        <v>0</v>
      </c>
      <c r="I14" s="107">
        <f>'P一般'!I14+'B一般'!I14</f>
        <v>0</v>
      </c>
      <c r="J14" s="108">
        <f>SUM(D14:I14)</f>
        <v>50979</v>
      </c>
      <c r="K14" s="107">
        <f>'P一般'!K14+'B一般'!K14</f>
        <v>0</v>
      </c>
      <c r="L14" s="106">
        <f>'P一般'!L14+'B一般'!L14</f>
        <v>0</v>
      </c>
      <c r="M14" s="106">
        <f>'P一般'!M14+'B一般'!M14</f>
        <v>0</v>
      </c>
      <c r="N14" s="106">
        <f>'P一般'!N14+'B一般'!N14</f>
        <v>0</v>
      </c>
      <c r="O14" s="106">
        <f>'P一般'!O14+'B一般'!O14</f>
        <v>0</v>
      </c>
      <c r="P14" s="107">
        <f>'P一般'!P14+'B一般'!P14</f>
        <v>0</v>
      </c>
      <c r="Q14" s="108">
        <f>SUM(K14:P14)</f>
        <v>0</v>
      </c>
      <c r="R14" s="109">
        <f>J14+Q14</f>
        <v>50979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105">
        <f>'P一般'!D15+'B一般'!D15</f>
        <v>405166</v>
      </c>
      <c r="E15" s="106">
        <f>'P一般'!E15+'B一般'!E15</f>
        <v>0</v>
      </c>
      <c r="F15" s="106">
        <f>'P一般'!F15+'B一般'!F15</f>
        <v>0</v>
      </c>
      <c r="G15" s="106">
        <f>'P一般'!G15+'B一般'!G15</f>
        <v>2016654</v>
      </c>
      <c r="H15" s="106">
        <f>'P一般'!H15+'B一般'!H15</f>
        <v>0</v>
      </c>
      <c r="I15" s="107">
        <f>'P一般'!I15+'B一般'!I15</f>
        <v>0</v>
      </c>
      <c r="J15" s="108">
        <f>SUM(D15:I15)</f>
        <v>2421820</v>
      </c>
      <c r="K15" s="107">
        <f>'P一般'!K15+'B一般'!K15</f>
        <v>0</v>
      </c>
      <c r="L15" s="106">
        <f>'P一般'!L15+'B一般'!L15</f>
        <v>0</v>
      </c>
      <c r="M15" s="106">
        <f>'P一般'!M15+'B一般'!M15</f>
        <v>0</v>
      </c>
      <c r="N15" s="106">
        <f>'P一般'!N15+'B一般'!N15</f>
        <v>0</v>
      </c>
      <c r="O15" s="106">
        <f>'P一般'!O15+'B一般'!O15</f>
        <v>0</v>
      </c>
      <c r="P15" s="107">
        <f>'P一般'!P15+'B一般'!P15</f>
        <v>0</v>
      </c>
      <c r="Q15" s="108">
        <f>SUM(K15:P15)</f>
        <v>0</v>
      </c>
      <c r="R15" s="109">
        <f>J15+Q15</f>
        <v>2421820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 aca="true" t="shared" si="3" ref="D16:R16">IF(D14=0,"",(D15/D14)*1000)</f>
        <v>47627.36569883625</v>
      </c>
      <c r="E16" s="56">
        <f t="shared" si="3"/>
      </c>
      <c r="F16" s="56">
        <f t="shared" si="3"/>
      </c>
      <c r="G16" s="56">
        <f t="shared" si="3"/>
        <v>47481.964588434734</v>
      </c>
      <c r="H16" s="56">
        <f t="shared" si="3"/>
      </c>
      <c r="I16" s="57">
        <f t="shared" si="3"/>
      </c>
      <c r="J16" s="58">
        <f t="shared" si="3"/>
        <v>47506.228054689185</v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  <v>47506.228054689185</v>
      </c>
      <c r="S16" s="45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105">
        <f>'P一般'!D17+'B一般'!D17</f>
        <v>72250</v>
      </c>
      <c r="E17" s="106">
        <f>'P一般'!E17+'B一般'!E17</f>
        <v>172890</v>
      </c>
      <c r="F17" s="106">
        <f>'P一般'!F17+'B一般'!F17</f>
        <v>64655</v>
      </c>
      <c r="G17" s="106">
        <f>'P一般'!G17+'B一般'!G17</f>
        <v>45647</v>
      </c>
      <c r="H17" s="106">
        <f>'P一般'!H17+'B一般'!H17</f>
        <v>73608</v>
      </c>
      <c r="I17" s="107">
        <f>'P一般'!I17+'B一般'!I17</f>
        <v>64233</v>
      </c>
      <c r="J17" s="108">
        <f>SUM(D17:I17)</f>
        <v>493283</v>
      </c>
      <c r="K17" s="107">
        <f>'P一般'!K17+'B一般'!K17</f>
        <v>111396</v>
      </c>
      <c r="L17" s="106">
        <f>'P一般'!L17+'B一般'!L17</f>
        <v>125289</v>
      </c>
      <c r="M17" s="106">
        <f>'P一般'!M17+'B一般'!M17</f>
        <v>100396</v>
      </c>
      <c r="N17" s="106">
        <f>'P一般'!N17+'B一般'!N17</f>
        <v>68296</v>
      </c>
      <c r="O17" s="106">
        <f>'P一般'!O17+'B一般'!O17</f>
        <v>256602</v>
      </c>
      <c r="P17" s="107">
        <f>'P一般'!P17+'B一般'!P17</f>
        <v>141620</v>
      </c>
      <c r="Q17" s="108">
        <f>SUM(K17:P17)</f>
        <v>803599</v>
      </c>
      <c r="R17" s="109">
        <f>J17+Q17</f>
        <v>1296882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105">
        <f>'P一般'!D18+'B一般'!D18</f>
        <v>3237405</v>
      </c>
      <c r="E18" s="106">
        <f>'P一般'!E18+'B一般'!E18</f>
        <v>8375999</v>
      </c>
      <c r="F18" s="106">
        <f>'P一般'!F18+'B一般'!F18</f>
        <v>3131805</v>
      </c>
      <c r="G18" s="130">
        <f>'P一般'!G18+'B一般'!G18</f>
        <v>2193011</v>
      </c>
      <c r="H18" s="106">
        <f>'P一般'!H18+'B一般'!H18</f>
        <v>3605751</v>
      </c>
      <c r="I18" s="139">
        <f>'P一般'!I18+'B一般'!I18</f>
        <v>3171647</v>
      </c>
      <c r="J18" s="132">
        <f>SUM(D18:I18)</f>
        <v>23715618</v>
      </c>
      <c r="K18" s="107">
        <f>'P一般'!K18+'B一般'!K18</f>
        <v>6151103</v>
      </c>
      <c r="L18" s="106">
        <f>'P一般'!L18+'B一般'!L18</f>
        <v>8111419</v>
      </c>
      <c r="M18" s="106">
        <f>'P一般'!M18+'B一般'!M18</f>
        <v>6924497</v>
      </c>
      <c r="N18" s="106">
        <f>'P一般'!N18+'B一般'!N18</f>
        <v>4750540</v>
      </c>
      <c r="O18" s="106">
        <f>'P一般'!O18+'B一般'!O18</f>
        <v>19147176</v>
      </c>
      <c r="P18" s="107">
        <f>'P一般'!P18+'B一般'!P18</f>
        <v>11077350</v>
      </c>
      <c r="Q18" s="108">
        <f>SUM(K18:P18)</f>
        <v>56162085</v>
      </c>
      <c r="R18" s="135">
        <f>J18+Q18</f>
        <v>79877703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4" ref="D19:R19">IF(D17=0,"",(D18/D17)*1000)</f>
        <v>44808.37370242215</v>
      </c>
      <c r="E19" s="56">
        <f t="shared" si="4"/>
        <v>48446.9836312106</v>
      </c>
      <c r="F19" s="56">
        <f t="shared" si="4"/>
        <v>48438.71316990179</v>
      </c>
      <c r="G19" s="129">
        <f t="shared" si="4"/>
        <v>48042.828663438995</v>
      </c>
      <c r="H19" s="56">
        <f t="shared" si="4"/>
        <v>48985.85751548745</v>
      </c>
      <c r="I19" s="133">
        <f t="shared" si="4"/>
        <v>49377.22043186524</v>
      </c>
      <c r="J19" s="134">
        <f t="shared" si="4"/>
        <v>48077.10381261872</v>
      </c>
      <c r="K19" s="57">
        <f t="shared" si="4"/>
        <v>55218.34715788718</v>
      </c>
      <c r="L19" s="56">
        <f t="shared" si="4"/>
        <v>64741.669260669325</v>
      </c>
      <c r="M19" s="56">
        <f t="shared" si="4"/>
        <v>68971.8415076298</v>
      </c>
      <c r="N19" s="56">
        <f t="shared" si="4"/>
        <v>69558.10003514115</v>
      </c>
      <c r="O19" s="56">
        <f t="shared" si="4"/>
        <v>74618.18691982135</v>
      </c>
      <c r="P19" s="57">
        <f t="shared" si="4"/>
        <v>78218.82502471402</v>
      </c>
      <c r="Q19" s="58">
        <f t="shared" si="4"/>
        <v>69888.19672498349</v>
      </c>
      <c r="R19" s="136">
        <f t="shared" si="4"/>
        <v>61592.113237750236</v>
      </c>
      <c r="S19" s="45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105">
        <f>'P一般'!D20+'B一般'!D20</f>
        <v>181196</v>
      </c>
      <c r="E20" s="106">
        <f>'P一般'!E20+'B一般'!E20</f>
        <v>205649</v>
      </c>
      <c r="F20" s="106">
        <f>'P一般'!F20+'B一般'!F20</f>
        <v>193239</v>
      </c>
      <c r="G20" s="106">
        <f>'P一般'!G20+'B一般'!G20</f>
        <v>202681</v>
      </c>
      <c r="H20" s="106">
        <f>'P一般'!H20+'B一般'!H20</f>
        <v>238016</v>
      </c>
      <c r="I20" s="107">
        <f>'P一般'!I20+'B一般'!I20</f>
        <v>274698</v>
      </c>
      <c r="J20" s="108">
        <f>SUM(D20:I20)</f>
        <v>1295479</v>
      </c>
      <c r="K20" s="107">
        <f>'P一般'!K20+'B一般'!K20</f>
        <v>128412</v>
      </c>
      <c r="L20" s="106">
        <f>'P一般'!L20+'B一般'!L20</f>
        <v>213731</v>
      </c>
      <c r="M20" s="106">
        <f>'P一般'!M20+'B一般'!M20</f>
        <v>404369</v>
      </c>
      <c r="N20" s="106">
        <f>'P一般'!N20+'B一般'!N20</f>
        <v>372788</v>
      </c>
      <c r="O20" s="106">
        <f>'P一般'!O20+'B一般'!O20</f>
        <v>155095</v>
      </c>
      <c r="P20" s="107">
        <f>'P一般'!P20+'B一般'!P20</f>
        <v>453859</v>
      </c>
      <c r="Q20" s="108">
        <f>SUM(K20:P20)</f>
        <v>1728254</v>
      </c>
      <c r="R20" s="109">
        <f>J20+Q20</f>
        <v>3023733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105">
        <f>'P一般'!D21+'B一般'!D21</f>
        <v>7798812</v>
      </c>
      <c r="E21" s="106">
        <f>'P一般'!E21+'B一般'!E21</f>
        <v>9580316</v>
      </c>
      <c r="F21" s="106">
        <f>'P一般'!F21+'B一般'!F21</f>
        <v>9319479</v>
      </c>
      <c r="G21" s="106">
        <f>'P一般'!G21+'B一般'!G21</f>
        <v>9689001</v>
      </c>
      <c r="H21" s="106">
        <f>'P一般'!H21+'B一般'!H21</f>
        <v>10300244</v>
      </c>
      <c r="I21" s="107">
        <f>'P一般'!I21+'B一般'!I21</f>
        <v>13303740</v>
      </c>
      <c r="J21" s="108">
        <f>SUM(D21:I21)</f>
        <v>59991592</v>
      </c>
      <c r="K21" s="139">
        <f>'P一般'!K21+'B一般'!K21</f>
        <v>6919878</v>
      </c>
      <c r="L21" s="106">
        <f>'P一般'!L21+'B一般'!L21</f>
        <v>13114125</v>
      </c>
      <c r="M21" s="106">
        <f>'P一般'!M21+'B一般'!M21</f>
        <v>27844972</v>
      </c>
      <c r="N21" s="106">
        <f>'P一般'!N21+'B一般'!N21</f>
        <v>25423181</v>
      </c>
      <c r="O21" s="106">
        <f>'P一般'!O21+'B一般'!O21</f>
        <v>11365647</v>
      </c>
      <c r="P21" s="107">
        <f>'P一般'!P21+'B一般'!P21</f>
        <v>31254151</v>
      </c>
      <c r="Q21" s="108">
        <f>SUM(K21:P21)</f>
        <v>115921954</v>
      </c>
      <c r="R21" s="135">
        <f>J21+Q21</f>
        <v>175913546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5" ref="D22:R22">IF(D20=0,"",(D21/D20)*1000)</f>
        <v>43040.75145146692</v>
      </c>
      <c r="E22" s="56">
        <f t="shared" si="5"/>
        <v>46585.76506571878</v>
      </c>
      <c r="F22" s="56">
        <f t="shared" si="5"/>
        <v>48227.73353205098</v>
      </c>
      <c r="G22" s="56">
        <f t="shared" si="5"/>
        <v>47804.18983525836</v>
      </c>
      <c r="H22" s="56">
        <f t="shared" si="5"/>
        <v>43275.4268620597</v>
      </c>
      <c r="I22" s="57">
        <f t="shared" si="5"/>
        <v>48430.421772273556</v>
      </c>
      <c r="J22" s="58">
        <f t="shared" si="5"/>
        <v>46308.42491464547</v>
      </c>
      <c r="K22" s="133">
        <f t="shared" si="5"/>
        <v>53888.09457060088</v>
      </c>
      <c r="L22" s="56">
        <f t="shared" si="5"/>
        <v>61358.08563100346</v>
      </c>
      <c r="M22" s="56">
        <f t="shared" si="5"/>
        <v>68860.30333680377</v>
      </c>
      <c r="N22" s="56">
        <f t="shared" si="5"/>
        <v>68197.4232003176</v>
      </c>
      <c r="O22" s="56">
        <f t="shared" si="5"/>
        <v>73281.84016248106</v>
      </c>
      <c r="P22" s="57">
        <f t="shared" si="5"/>
        <v>68863.12929786564</v>
      </c>
      <c r="Q22" s="58">
        <f t="shared" si="5"/>
        <v>67074.60477452968</v>
      </c>
      <c r="R22" s="136">
        <f t="shared" si="5"/>
        <v>58177.60562853929</v>
      </c>
      <c r="S22" s="45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105">
        <f>'P一般'!D23+'B一般'!D23</f>
        <v>82289</v>
      </c>
      <c r="E23" s="106">
        <f>'P一般'!E23+'B一般'!E23</f>
        <v>99595</v>
      </c>
      <c r="F23" s="106">
        <f>'P一般'!F23+'B一般'!F23</f>
        <v>84364</v>
      </c>
      <c r="G23" s="106">
        <f>'P一般'!G23+'B一般'!G23</f>
        <v>93153</v>
      </c>
      <c r="H23" s="106">
        <f>'P一般'!H23+'B一般'!H23</f>
        <v>55023</v>
      </c>
      <c r="I23" s="107">
        <f>'P一般'!I23+'B一般'!I23</f>
        <v>53066</v>
      </c>
      <c r="J23" s="108">
        <f>SUM(D23:I23)</f>
        <v>467490</v>
      </c>
      <c r="K23" s="107">
        <f>'P一般'!K23+'B一般'!K23</f>
        <v>125839</v>
      </c>
      <c r="L23" s="106">
        <f>'P一般'!L23+'B一般'!L23</f>
        <v>64051</v>
      </c>
      <c r="M23" s="106">
        <f>'P一般'!M23+'B一般'!M23</f>
        <v>118995</v>
      </c>
      <c r="N23" s="106">
        <f>'P一般'!N23+'B一般'!N23</f>
        <v>24266</v>
      </c>
      <c r="O23" s="106">
        <f>'P一般'!O23+'B一般'!O23</f>
        <v>112897</v>
      </c>
      <c r="P23" s="107">
        <f>'P一般'!P23+'B一般'!P23</f>
        <v>110572</v>
      </c>
      <c r="Q23" s="108">
        <f>SUM(K23:P23)</f>
        <v>556620</v>
      </c>
      <c r="R23" s="109">
        <f>J23+Q23</f>
        <v>1024110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105">
        <f>'P一般'!D24+'B一般'!D24</f>
        <v>4026917</v>
      </c>
      <c r="E24" s="106">
        <f>'P一般'!E24+'B一般'!E24</f>
        <v>4795738</v>
      </c>
      <c r="F24" s="106">
        <f>'P一般'!F24+'B一般'!F24</f>
        <v>4067432</v>
      </c>
      <c r="G24" s="106">
        <f>'P一般'!G24+'B一般'!G24</f>
        <v>4497586</v>
      </c>
      <c r="H24" s="106">
        <f>'P一般'!H24+'B一般'!H24</f>
        <v>2715933</v>
      </c>
      <c r="I24" s="107">
        <f>'P一般'!I24+'B一般'!I24</f>
        <v>2604334</v>
      </c>
      <c r="J24" s="108">
        <f>SUM(D24:I24)</f>
        <v>22707940</v>
      </c>
      <c r="K24" s="107">
        <f>'P一般'!K24+'B一般'!K24</f>
        <v>7236550</v>
      </c>
      <c r="L24" s="106">
        <f>'P一般'!L24+'B一般'!L24</f>
        <v>3991541</v>
      </c>
      <c r="M24" s="106">
        <f>'P一般'!M24+'B一般'!M24</f>
        <v>8182027</v>
      </c>
      <c r="N24" s="106">
        <f>'P一般'!N24+'B一般'!N24</f>
        <v>1626853</v>
      </c>
      <c r="O24" s="106">
        <f>'P一般'!O24+'B一般'!O24</f>
        <v>8652702</v>
      </c>
      <c r="P24" s="107">
        <f>'P一般'!P24+'B一般'!P24</f>
        <v>8273163</v>
      </c>
      <c r="Q24" s="108">
        <f>SUM(K24:P24)</f>
        <v>37962836</v>
      </c>
      <c r="R24" s="109">
        <f>J24+Q24</f>
        <v>60670776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6" ref="D25:R25">IF(D23=0,"",(D24/D23)*1000)</f>
        <v>48936.27337797276</v>
      </c>
      <c r="E25" s="56">
        <f t="shared" si="6"/>
        <v>48152.39720869521</v>
      </c>
      <c r="F25" s="56">
        <f t="shared" si="6"/>
        <v>48212.88701341805</v>
      </c>
      <c r="G25" s="56">
        <f t="shared" si="6"/>
        <v>48281.708586948356</v>
      </c>
      <c r="H25" s="56">
        <f t="shared" si="6"/>
        <v>49359.958562782835</v>
      </c>
      <c r="I25" s="57">
        <f t="shared" si="6"/>
        <v>49077.262277164285</v>
      </c>
      <c r="J25" s="58">
        <f t="shared" si="6"/>
        <v>48574.17270957667</v>
      </c>
      <c r="K25" s="57">
        <f t="shared" si="6"/>
        <v>57506.41692956874</v>
      </c>
      <c r="L25" s="56">
        <f t="shared" si="6"/>
        <v>62318.16833460836</v>
      </c>
      <c r="M25" s="56">
        <f t="shared" si="6"/>
        <v>68759.41846296063</v>
      </c>
      <c r="N25" s="56">
        <f t="shared" si="6"/>
        <v>67042.48743097339</v>
      </c>
      <c r="O25" s="56">
        <f t="shared" si="6"/>
        <v>76642.44399762616</v>
      </c>
      <c r="P25" s="57">
        <f t="shared" si="6"/>
        <v>74821.50092247585</v>
      </c>
      <c r="Q25" s="58">
        <f t="shared" si="6"/>
        <v>68202.42894613919</v>
      </c>
      <c r="R25" s="59">
        <f t="shared" si="6"/>
        <v>59242.44075343469</v>
      </c>
      <c r="S25" s="45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105">
        <f>'P一般'!D26+'B一般'!D26</f>
        <v>74395</v>
      </c>
      <c r="E26" s="106">
        <f>'P一般'!E26+'B一般'!E26</f>
        <v>34994</v>
      </c>
      <c r="F26" s="106">
        <f>'P一般'!F26+'B一般'!F26</f>
        <v>61389</v>
      </c>
      <c r="G26" s="106">
        <f>'P一般'!G26+'B一般'!G26</f>
        <v>33252</v>
      </c>
      <c r="H26" s="106">
        <f>'P一般'!H26+'B一般'!H26</f>
        <v>42495</v>
      </c>
      <c r="I26" s="107">
        <f>'P一般'!I26+'B一般'!I26</f>
        <v>57421</v>
      </c>
      <c r="J26" s="108">
        <f>SUM(D26:I26)</f>
        <v>303946</v>
      </c>
      <c r="K26" s="107">
        <f>'P一般'!K26+'B一般'!K26</f>
        <v>23219</v>
      </c>
      <c r="L26" s="106">
        <f>'P一般'!L26+'B一般'!L26</f>
        <v>44360</v>
      </c>
      <c r="M26" s="106">
        <f>'P一般'!M26+'B一般'!M26</f>
        <v>102769</v>
      </c>
      <c r="N26" s="106">
        <f>'P一般'!N26+'B一般'!N26</f>
        <v>88546</v>
      </c>
      <c r="O26" s="106">
        <f>'P一般'!O26+'B一般'!O26</f>
        <v>35330</v>
      </c>
      <c r="P26" s="107">
        <f>'P一般'!P26+'B一般'!P26</f>
        <v>249</v>
      </c>
      <c r="Q26" s="108">
        <f>SUM(K26:P26)</f>
        <v>294473</v>
      </c>
      <c r="R26" s="109">
        <f>J26+Q26</f>
        <v>598419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105">
        <f>'P一般'!D27+'B一般'!D27</f>
        <v>3449629</v>
      </c>
      <c r="E27" s="106">
        <f>'P一般'!E27+'B一般'!E27</f>
        <v>1679916</v>
      </c>
      <c r="F27" s="106">
        <f>'P一般'!F27+'B一般'!F27</f>
        <v>2972306</v>
      </c>
      <c r="G27" s="106">
        <f>'P一般'!G27+'B一般'!G27</f>
        <v>1574922</v>
      </c>
      <c r="H27" s="106">
        <f>'P一般'!H27+'B一般'!H27</f>
        <v>2035567</v>
      </c>
      <c r="I27" s="107">
        <f>'P一般'!I27+'B一般'!I27</f>
        <v>3101672</v>
      </c>
      <c r="J27" s="108">
        <f>SUM(D27:I27)</f>
        <v>14814012</v>
      </c>
      <c r="K27" s="107">
        <f>'P一般'!K27+'B一般'!K27</f>
        <v>1188779</v>
      </c>
      <c r="L27" s="106">
        <f>'P一般'!L27+'B一般'!L27</f>
        <v>2786374</v>
      </c>
      <c r="M27" s="106">
        <f>'P一般'!M27+'B一般'!M27</f>
        <v>6830846</v>
      </c>
      <c r="N27" s="106">
        <f>'P一般'!N27+'B一般'!N27</f>
        <v>5975561</v>
      </c>
      <c r="O27" s="106">
        <f>'P一般'!O27+'B一般'!O27</f>
        <v>2691883</v>
      </c>
      <c r="P27" s="107">
        <f>'P一般'!P27+'B一般'!P27</f>
        <v>5792</v>
      </c>
      <c r="Q27" s="108">
        <f>SUM(K27:P27)</f>
        <v>19479235</v>
      </c>
      <c r="R27" s="109">
        <f>J27+Q27</f>
        <v>34293247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7" ref="D28:R28">IF(D26=0,"",(D27/D26)*1000)</f>
        <v>46369.097385576984</v>
      </c>
      <c r="E28" s="56">
        <f t="shared" si="7"/>
        <v>48005.829570783564</v>
      </c>
      <c r="F28" s="56">
        <f t="shared" si="7"/>
        <v>48417.56666503771</v>
      </c>
      <c r="G28" s="56">
        <f t="shared" si="7"/>
        <v>47363.22627210394</v>
      </c>
      <c r="H28" s="56">
        <f t="shared" si="7"/>
        <v>47901.32956818449</v>
      </c>
      <c r="I28" s="57">
        <f t="shared" si="7"/>
        <v>54016.33548701694</v>
      </c>
      <c r="J28" s="58">
        <f t="shared" si="7"/>
        <v>48738.960210037316</v>
      </c>
      <c r="K28" s="57">
        <f t="shared" si="7"/>
        <v>51198.54429561997</v>
      </c>
      <c r="L28" s="56">
        <f t="shared" si="7"/>
        <v>62812.75924256087</v>
      </c>
      <c r="M28" s="56">
        <f t="shared" si="7"/>
        <v>66467.96212865747</v>
      </c>
      <c r="N28" s="56">
        <f t="shared" si="7"/>
        <v>67485.38612698484</v>
      </c>
      <c r="O28" s="56">
        <f t="shared" si="7"/>
        <v>76192.55590150015</v>
      </c>
      <c r="P28" s="57">
        <f t="shared" si="7"/>
        <v>23261.04417670683</v>
      </c>
      <c r="Q28" s="58">
        <f t="shared" si="7"/>
        <v>66149.47720164497</v>
      </c>
      <c r="R28" s="59">
        <f t="shared" si="7"/>
        <v>57306.414067735146</v>
      </c>
      <c r="S28" s="45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105">
        <f>'P一般'!D29+'B一般'!D29</f>
        <v>1195</v>
      </c>
      <c r="E29" s="106">
        <f>'P一般'!E29+'B一般'!E29</f>
        <v>1110</v>
      </c>
      <c r="F29" s="106">
        <f>'P一般'!F29+'B一般'!F29</f>
        <v>1110</v>
      </c>
      <c r="G29" s="106">
        <f>'P一般'!G29+'B一般'!G29</f>
        <v>476</v>
      </c>
      <c r="H29" s="106">
        <f>'P一般'!H29+'B一般'!H29</f>
        <v>2168</v>
      </c>
      <c r="I29" s="107">
        <f>'P一般'!I29+'B一般'!I29</f>
        <v>1867</v>
      </c>
      <c r="J29" s="108">
        <f>SUM(D29:I29)</f>
        <v>7926</v>
      </c>
      <c r="K29" s="107">
        <f>'P一般'!K29+'B一般'!K29</f>
        <v>2370</v>
      </c>
      <c r="L29" s="106">
        <f>'P一般'!L29+'B一般'!L29</f>
        <v>2756</v>
      </c>
      <c r="M29" s="106">
        <f>'P一般'!M29+'B一般'!M29</f>
        <v>3102</v>
      </c>
      <c r="N29" s="106">
        <f>'P一般'!N29+'B一般'!N29</f>
        <v>3721</v>
      </c>
      <c r="O29" s="106">
        <f>'P一般'!O29+'B一般'!O29</f>
        <v>901</v>
      </c>
      <c r="P29" s="107">
        <f>'P一般'!P29+'B一般'!P29</f>
        <v>2678</v>
      </c>
      <c r="Q29" s="108">
        <f>SUM(K29:P29)</f>
        <v>15528</v>
      </c>
      <c r="R29" s="109">
        <f>J29+Q29</f>
        <v>23454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105">
        <f>'P一般'!D30+'B一般'!D30</f>
        <v>128924</v>
      </c>
      <c r="E30" s="106">
        <f>'P一般'!E30+'B一般'!E30</f>
        <v>114520</v>
      </c>
      <c r="F30" s="106">
        <f>'P一般'!F30+'B一般'!F30</f>
        <v>114488</v>
      </c>
      <c r="G30" s="106">
        <f>'P一般'!G30+'B一般'!G30</f>
        <v>101291</v>
      </c>
      <c r="H30" s="106">
        <f>'P一般'!H30+'B一般'!H30</f>
        <v>220618</v>
      </c>
      <c r="I30" s="107">
        <f>'P一般'!I30+'B一般'!I30</f>
        <v>276278</v>
      </c>
      <c r="J30" s="108">
        <f>SUM(D30:I30)</f>
        <v>956119</v>
      </c>
      <c r="K30" s="107">
        <f>'P一般'!K30+'B一般'!K30</f>
        <v>395954</v>
      </c>
      <c r="L30" s="106">
        <f>'P一般'!L30+'B一般'!L30</f>
        <v>540919</v>
      </c>
      <c r="M30" s="106">
        <f>'P一般'!M30+'B一般'!M30</f>
        <v>538731</v>
      </c>
      <c r="N30" s="106">
        <f>'P一般'!N30+'B一般'!N30</f>
        <v>528574</v>
      </c>
      <c r="O30" s="106">
        <f>'P一般'!O30+'B一般'!O30</f>
        <v>198080</v>
      </c>
      <c r="P30" s="107">
        <f>'P一般'!P30+'B一般'!P30</f>
        <v>281218</v>
      </c>
      <c r="Q30" s="108">
        <f>SUM(K30:P30)</f>
        <v>2483476</v>
      </c>
      <c r="R30" s="109">
        <f>J30+Q30</f>
        <v>3439595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8" ref="D31:R31">IF(D29=0,"",(D30/D29)*1000)</f>
        <v>107886.19246861924</v>
      </c>
      <c r="E31" s="56">
        <f t="shared" si="8"/>
        <v>103171.17117117117</v>
      </c>
      <c r="F31" s="56">
        <f t="shared" si="8"/>
        <v>103142.34234234235</v>
      </c>
      <c r="G31" s="56">
        <f t="shared" si="8"/>
        <v>212796.21848739494</v>
      </c>
      <c r="H31" s="56">
        <f t="shared" si="8"/>
        <v>101761.07011070111</v>
      </c>
      <c r="I31" s="57">
        <f t="shared" si="8"/>
        <v>147979.6464916979</v>
      </c>
      <c r="J31" s="58">
        <f t="shared" si="8"/>
        <v>120630.70905879384</v>
      </c>
      <c r="K31" s="57">
        <f t="shared" si="8"/>
        <v>167069.1983122363</v>
      </c>
      <c r="L31" s="56">
        <f t="shared" si="8"/>
        <v>196269.59361393325</v>
      </c>
      <c r="M31" s="56">
        <f t="shared" si="8"/>
        <v>173672.14700193424</v>
      </c>
      <c r="N31" s="56">
        <f t="shared" si="8"/>
        <v>142051.59903251813</v>
      </c>
      <c r="O31" s="56">
        <f t="shared" si="8"/>
        <v>219844.61709211988</v>
      </c>
      <c r="P31" s="57">
        <f t="shared" si="8"/>
        <v>105010.45556385363</v>
      </c>
      <c r="Q31" s="58">
        <f t="shared" si="8"/>
        <v>159935.34260690364</v>
      </c>
      <c r="R31" s="59">
        <f t="shared" si="8"/>
        <v>146652.80975526563</v>
      </c>
      <c r="S31" s="45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49">
        <f>'P一般'!D32+'B一般'!D32</f>
        <v>0</v>
      </c>
      <c r="E32" s="106">
        <f>'P一般'!E32+'B一般'!E32</f>
        <v>0</v>
      </c>
      <c r="F32" s="106">
        <f>'P一般'!F32+'B一般'!F32</f>
        <v>0</v>
      </c>
      <c r="G32" s="106">
        <f>'P一般'!G32+'B一般'!G32</f>
        <v>0</v>
      </c>
      <c r="H32" s="106">
        <f>'P一般'!H32+'B一般'!H32</f>
        <v>0</v>
      </c>
      <c r="I32" s="107">
        <f>'P一般'!I32+'B一般'!I32</f>
        <v>0</v>
      </c>
      <c r="J32" s="108">
        <f>SUM(D32:I32)</f>
        <v>0</v>
      </c>
      <c r="K32" s="51">
        <f>'P一般'!K32+'B一般'!K32</f>
        <v>0</v>
      </c>
      <c r="L32" s="50">
        <f>'P一般'!L32+'B一般'!L32</f>
        <v>0</v>
      </c>
      <c r="M32" s="50">
        <f>'P一般'!M32+'B一般'!M32</f>
        <v>0</v>
      </c>
      <c r="N32" s="50">
        <f>'P一般'!N32+'B一般'!N32</f>
        <v>0</v>
      </c>
      <c r="O32" s="50">
        <f>'P一般'!O32+'B一般'!O32</f>
        <v>0</v>
      </c>
      <c r="P32" s="51">
        <f>'P一般'!P32+'B一般'!P32</f>
        <v>0</v>
      </c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49">
        <f>'P一般'!D33+'B一般'!D33</f>
        <v>0</v>
      </c>
      <c r="E33" s="106">
        <f>'P一般'!E33+'B一般'!E33</f>
        <v>0</v>
      </c>
      <c r="F33" s="106">
        <f>'P一般'!F33+'B一般'!F33</f>
        <v>0</v>
      </c>
      <c r="G33" s="106">
        <f>'P一般'!G33+'B一般'!G33</f>
        <v>0</v>
      </c>
      <c r="H33" s="106">
        <f>'P一般'!H33+'B一般'!H33</f>
        <v>0</v>
      </c>
      <c r="I33" s="107">
        <f>'P一般'!I33+'B一般'!I33</f>
        <v>0</v>
      </c>
      <c r="J33" s="108">
        <f>SUM(D33:I33)</f>
        <v>0</v>
      </c>
      <c r="K33" s="51">
        <f>'P一般'!K33+'B一般'!K33</f>
        <v>0</v>
      </c>
      <c r="L33" s="50">
        <f>'P一般'!L33+'B一般'!L33</f>
        <v>0</v>
      </c>
      <c r="M33" s="50">
        <f>'P一般'!M33+'B一般'!M33</f>
        <v>0</v>
      </c>
      <c r="N33" s="50">
        <f>'P一般'!N33+'B一般'!N33</f>
        <v>0</v>
      </c>
      <c r="O33" s="50">
        <f>'P一般'!O33+'B一般'!O33</f>
        <v>0</v>
      </c>
      <c r="P33" s="51">
        <f>'P一般'!P33+'B一般'!P33</f>
        <v>0</v>
      </c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105">
        <f>'P一般'!D35+'B一般'!D35</f>
        <v>24252</v>
      </c>
      <c r="E35" s="106">
        <f>'P一般'!E35+'B一般'!E35</f>
        <v>17575</v>
      </c>
      <c r="F35" s="106">
        <f>'P一般'!F35+'B一般'!F35</f>
        <v>53098</v>
      </c>
      <c r="G35" s="106">
        <f>'P一般'!G35+'B一般'!G35</f>
        <v>0</v>
      </c>
      <c r="H35" s="106">
        <f>'P一般'!H35+'B一般'!H35</f>
        <v>0</v>
      </c>
      <c r="I35" s="107">
        <f>'P一般'!I35+'B一般'!I35</f>
        <v>39171</v>
      </c>
      <c r="J35" s="108">
        <f>SUM(D35:I35)</f>
        <v>134096</v>
      </c>
      <c r="K35" s="107">
        <f>'P一般'!K35+'B一般'!K35</f>
        <v>570</v>
      </c>
      <c r="L35" s="106">
        <f>'P一般'!L35+'B一般'!L35</f>
        <v>0</v>
      </c>
      <c r="M35" s="106">
        <f>'P一般'!M35+'B一般'!M35</f>
        <v>0</v>
      </c>
      <c r="N35" s="106">
        <f>'P一般'!N35+'B一般'!N35</f>
        <v>44155</v>
      </c>
      <c r="O35" s="106">
        <f>'P一般'!O35+'B一般'!O35</f>
        <v>20311</v>
      </c>
      <c r="P35" s="107">
        <f>'P一般'!P35+'B一般'!P35</f>
        <v>0</v>
      </c>
      <c r="Q35" s="108">
        <f>SUM(K35:P35)</f>
        <v>65036</v>
      </c>
      <c r="R35" s="109">
        <f>J35+Q35</f>
        <v>199132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105">
        <f>'P一般'!D36+'B一般'!D36</f>
        <v>1063185</v>
      </c>
      <c r="E36" s="106">
        <f>'P一般'!E36+'B一般'!E36</f>
        <v>841988</v>
      </c>
      <c r="F36" s="106">
        <f>'P一般'!F36+'B一般'!F36</f>
        <v>2451240</v>
      </c>
      <c r="G36" s="106">
        <f>'P一般'!G36+'B一般'!G36</f>
        <v>0</v>
      </c>
      <c r="H36" s="106">
        <f>'P一般'!H36+'B一般'!H36</f>
        <v>0</v>
      </c>
      <c r="I36" s="107">
        <f>'P一般'!I36+'B一般'!I36</f>
        <v>1910998</v>
      </c>
      <c r="J36" s="108">
        <f>SUM(D36:I36)</f>
        <v>6267411</v>
      </c>
      <c r="K36" s="107">
        <f>'P一般'!K36+'B一般'!K36</f>
        <v>25655</v>
      </c>
      <c r="L36" s="106">
        <f>'P一般'!L36+'B一般'!L36</f>
        <v>0</v>
      </c>
      <c r="M36" s="106">
        <f>'P一般'!M36+'B一般'!M36</f>
        <v>0</v>
      </c>
      <c r="N36" s="106">
        <f>'P一般'!N36+'B一般'!N36</f>
        <v>2897009</v>
      </c>
      <c r="O36" s="106">
        <f>'P一般'!O36+'B一般'!O36</f>
        <v>1521530</v>
      </c>
      <c r="P36" s="107">
        <f>'P一般'!P36+'B一般'!P36</f>
        <v>0</v>
      </c>
      <c r="Q36" s="108">
        <f>SUM(K36:P36)</f>
        <v>4444194</v>
      </c>
      <c r="R36" s="109">
        <f>J36+Q36</f>
        <v>10711605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 aca="true" t="shared" si="10" ref="D37:R37">IF(D35=0,"",(D36/D35)*1000)</f>
        <v>43839.06481939634</v>
      </c>
      <c r="E37" s="56">
        <f t="shared" si="10"/>
        <v>47908.278805120906</v>
      </c>
      <c r="F37" s="56">
        <f t="shared" si="10"/>
        <v>46164.450638442126</v>
      </c>
      <c r="G37" s="56">
        <f t="shared" si="10"/>
      </c>
      <c r="H37" s="56">
        <f t="shared" si="10"/>
      </c>
      <c r="I37" s="57">
        <f t="shared" si="10"/>
        <v>48786.040693370094</v>
      </c>
      <c r="J37" s="58">
        <f t="shared" si="10"/>
        <v>46738.239768524036</v>
      </c>
      <c r="K37" s="57">
        <f t="shared" si="10"/>
        <v>45008.771929824565</v>
      </c>
      <c r="L37" s="56">
        <f t="shared" si="10"/>
      </c>
      <c r="M37" s="56">
        <f t="shared" si="10"/>
      </c>
      <c r="N37" s="56">
        <f t="shared" si="10"/>
        <v>65609.98754387951</v>
      </c>
      <c r="O37" s="56">
        <f t="shared" si="10"/>
        <v>74911.62424302103</v>
      </c>
      <c r="P37" s="57">
        <f t="shared" si="10"/>
      </c>
      <c r="Q37" s="58">
        <f t="shared" si="10"/>
        <v>68334.36865735901</v>
      </c>
      <c r="R37" s="59">
        <f t="shared" si="10"/>
        <v>53791.48002330113</v>
      </c>
      <c r="S37" s="45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105">
        <f>'P一般'!D38+'B一般'!D38</f>
        <v>76</v>
      </c>
      <c r="E38" s="106">
        <f>'P一般'!E38+'B一般'!E38</f>
        <v>110</v>
      </c>
      <c r="F38" s="106">
        <f>'P一般'!F38+'B一般'!F38</f>
        <v>46309</v>
      </c>
      <c r="G38" s="106">
        <f>'P一般'!G38+'B一般'!G38</f>
        <v>106</v>
      </c>
      <c r="H38" s="106">
        <f>'P一般'!H38+'B一般'!H38</f>
        <v>14871</v>
      </c>
      <c r="I38" s="107">
        <f>'P一般'!I38+'B一般'!I38</f>
        <v>18230</v>
      </c>
      <c r="J38" s="108">
        <f>SUM(D38:I38)</f>
        <v>79702</v>
      </c>
      <c r="K38" s="107">
        <f>'P一般'!K38+'B一般'!K38</f>
        <v>282</v>
      </c>
      <c r="L38" s="106">
        <f>'P一般'!L38+'B一般'!L38</f>
        <v>168</v>
      </c>
      <c r="M38" s="106">
        <f>'P一般'!M38+'B一般'!M38</f>
        <v>78</v>
      </c>
      <c r="N38" s="106">
        <f>'P一般'!N38+'B一般'!N38</f>
        <v>118</v>
      </c>
      <c r="O38" s="106">
        <f>'P一般'!O38+'B一般'!O38</f>
        <v>44988</v>
      </c>
      <c r="P38" s="107">
        <f>'P一般'!P38+'B一般'!P38</f>
        <v>54804</v>
      </c>
      <c r="Q38" s="108">
        <f>SUM(K38:P38)</f>
        <v>100438</v>
      </c>
      <c r="R38" s="109">
        <f>J38+Q38</f>
        <v>180140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105">
        <f>'P一般'!D39+'B一般'!D39</f>
        <v>44130</v>
      </c>
      <c r="E39" s="106">
        <f>'P一般'!E39+'B一般'!E39</f>
        <v>43230</v>
      </c>
      <c r="F39" s="106">
        <f>'P一般'!F39+'B一般'!F39</f>
        <v>2331555</v>
      </c>
      <c r="G39" s="106">
        <f>'P一般'!G39+'B一般'!G39</f>
        <v>42796</v>
      </c>
      <c r="H39" s="106">
        <f>'P一般'!H39+'B一般'!H39</f>
        <v>735772</v>
      </c>
      <c r="I39" s="107">
        <f>'P一般'!I39+'B一般'!I39</f>
        <v>903679</v>
      </c>
      <c r="J39" s="108">
        <f>SUM(D39:I39)</f>
        <v>4101162</v>
      </c>
      <c r="K39" s="107">
        <f>'P一般'!K39+'B一般'!K39</f>
        <v>98625</v>
      </c>
      <c r="L39" s="106">
        <f>'P一般'!L39+'B一般'!L39</f>
        <v>82123</v>
      </c>
      <c r="M39" s="106">
        <f>'P一般'!M39+'B一般'!M39</f>
        <v>51775</v>
      </c>
      <c r="N39" s="106">
        <f>'P一般'!N39+'B一般'!N39</f>
        <v>69173</v>
      </c>
      <c r="O39" s="106">
        <f>'P一般'!O39+'B一般'!O39</f>
        <v>3553222</v>
      </c>
      <c r="P39" s="107">
        <f>'P一般'!P39+'B一般'!P39</f>
        <v>4012678</v>
      </c>
      <c r="Q39" s="108">
        <f>SUM(K39:P39)</f>
        <v>7867596</v>
      </c>
      <c r="R39" s="109">
        <f>J39+Q39</f>
        <v>11968758</v>
      </c>
      <c r="S39" s="45"/>
    </row>
    <row r="40" spans="1:19" s="46" customFormat="1" ht="13.5" customHeight="1" thickBot="1">
      <c r="A40" s="154"/>
      <c r="B40" s="20" t="s">
        <v>30</v>
      </c>
      <c r="C40" s="55" t="s">
        <v>6</v>
      </c>
      <c r="D40" s="65">
        <f aca="true" t="shared" si="11" ref="D40:R40">IF(D38=0,"",(D39/D38)*1000)</f>
        <v>580657.8947368421</v>
      </c>
      <c r="E40" s="56">
        <f t="shared" si="11"/>
        <v>393000</v>
      </c>
      <c r="F40" s="56">
        <f t="shared" si="11"/>
        <v>50347.772571206464</v>
      </c>
      <c r="G40" s="56">
        <f t="shared" si="11"/>
        <v>403735.8490566038</v>
      </c>
      <c r="H40" s="56">
        <f t="shared" si="11"/>
        <v>49476.9685965974</v>
      </c>
      <c r="I40" s="57">
        <f t="shared" si="11"/>
        <v>49570.98189797038</v>
      </c>
      <c r="J40" s="58">
        <f t="shared" si="11"/>
        <v>51456.199342551</v>
      </c>
      <c r="K40" s="57">
        <f t="shared" si="11"/>
        <v>349734.0425531915</v>
      </c>
      <c r="L40" s="56">
        <f t="shared" si="11"/>
        <v>488827.38095238095</v>
      </c>
      <c r="M40" s="56">
        <f t="shared" si="11"/>
        <v>663782.0512820513</v>
      </c>
      <c r="N40" s="56">
        <f t="shared" si="11"/>
        <v>586211.8644067796</v>
      </c>
      <c r="O40" s="56">
        <f t="shared" si="11"/>
        <v>78981.55063572509</v>
      </c>
      <c r="P40" s="57">
        <f t="shared" si="11"/>
        <v>73218.70666374717</v>
      </c>
      <c r="Q40" s="58">
        <f t="shared" si="11"/>
        <v>78332.862064159</v>
      </c>
      <c r="R40" s="59">
        <f t="shared" si="11"/>
        <v>66441.42333740425</v>
      </c>
      <c r="S40" s="45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>'P一般'!D41+'B一般'!D41</f>
        <v>1012529</v>
      </c>
      <c r="E41" s="106">
        <f>'P一般'!E41+'B一般'!E41</f>
        <v>1116370</v>
      </c>
      <c r="F41" s="106">
        <f>'P一般'!F41+'B一般'!F41</f>
        <v>1148183</v>
      </c>
      <c r="G41" s="106">
        <f>'P一般'!G41+'B一般'!G41</f>
        <v>986217</v>
      </c>
      <c r="H41" s="106">
        <f>'P一般'!H41+'B一般'!H41</f>
        <v>888033</v>
      </c>
      <c r="I41" s="107">
        <f>'P一般'!I41+'B一般'!I41</f>
        <v>1035175</v>
      </c>
      <c r="J41" s="108">
        <f>'P一般'!J41+'B一般'!J41</f>
        <v>6186507</v>
      </c>
      <c r="K41" s="107">
        <f>'P一般'!K41+'B一般'!K41</f>
        <v>847190</v>
      </c>
      <c r="L41" s="106">
        <f>'P一般'!L41+'B一般'!L41</f>
        <v>940317</v>
      </c>
      <c r="M41" s="106">
        <f>'P一般'!M41+'B一般'!M41</f>
        <v>1316304</v>
      </c>
      <c r="N41" s="106">
        <f>'P一般'!N41+'B一般'!N41</f>
        <v>1296514</v>
      </c>
      <c r="O41" s="106">
        <f>'P一般'!O41+'B一般'!O41</f>
        <v>1249006</v>
      </c>
      <c r="P41" s="107">
        <f>'P一般'!P41+'B一般'!P41</f>
        <v>1540145</v>
      </c>
      <c r="Q41" s="108">
        <f>'P一般'!Q41+'B一般'!Q41</f>
        <v>7189476</v>
      </c>
      <c r="R41" s="109">
        <f>J41+Q41</f>
        <v>13375983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105">
        <f>'P一般'!D42+'B一般'!D42</f>
        <v>46972400</v>
      </c>
      <c r="E42" s="106">
        <f>'P一般'!E42+'B一般'!E42</f>
        <v>53635608</v>
      </c>
      <c r="F42" s="106">
        <f>'P一般'!F42+'B一般'!F42</f>
        <v>55389536</v>
      </c>
      <c r="G42" s="130">
        <f>'P一般'!G42+'B一般'!G42</f>
        <v>46957339</v>
      </c>
      <c r="H42" s="130">
        <f>'P一般'!H42+'B一般'!H42</f>
        <v>42195921</v>
      </c>
      <c r="I42" s="139">
        <f>'P一般'!I42+'B一般'!I42</f>
        <v>51081507</v>
      </c>
      <c r="J42" s="132">
        <f>'P一般'!J42+'B一般'!J42</f>
        <v>296232311</v>
      </c>
      <c r="K42" s="139">
        <f>'P一般'!K42+'B一般'!K42</f>
        <v>46823575</v>
      </c>
      <c r="L42" s="106">
        <f>'P一般'!L42+'B一般'!L42</f>
        <v>59541595</v>
      </c>
      <c r="M42" s="106">
        <f>'P一般'!M42+'B一般'!M42</f>
        <v>90374671</v>
      </c>
      <c r="N42" s="106">
        <f>'P一般'!N42+'B一般'!N42</f>
        <v>88196636</v>
      </c>
      <c r="O42" s="106">
        <f>'P一般'!O42+'B一般'!O42</f>
        <v>93316730</v>
      </c>
      <c r="P42" s="107">
        <f>'P一般'!P42+'B一般'!P42</f>
        <v>112479684</v>
      </c>
      <c r="Q42" s="132">
        <f>'P一般'!Q42+'B一般'!Q42</f>
        <v>490732891</v>
      </c>
      <c r="R42" s="135">
        <f>J42+Q42</f>
        <v>786965202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12" ref="D43:R43">IF(D41=0,"",(D42/D41)*1000)</f>
        <v>46391.16509255538</v>
      </c>
      <c r="E43" s="56">
        <f t="shared" si="12"/>
        <v>48044.65186273368</v>
      </c>
      <c r="F43" s="56">
        <f t="shared" si="12"/>
        <v>48241.034747945225</v>
      </c>
      <c r="G43" s="129">
        <f t="shared" si="12"/>
        <v>47613.59721035026</v>
      </c>
      <c r="H43" s="129">
        <f t="shared" si="12"/>
        <v>47516.163250690006</v>
      </c>
      <c r="I43" s="133">
        <f t="shared" si="12"/>
        <v>49345.7695558722</v>
      </c>
      <c r="J43" s="134">
        <f t="shared" si="12"/>
        <v>47883.61364498577</v>
      </c>
      <c r="K43" s="133">
        <f t="shared" si="12"/>
        <v>55269.27253626695</v>
      </c>
      <c r="L43" s="56">
        <f t="shared" si="12"/>
        <v>63320.7684217131</v>
      </c>
      <c r="M43" s="56">
        <f t="shared" si="12"/>
        <v>68657.90197401207</v>
      </c>
      <c r="N43" s="56">
        <f t="shared" si="12"/>
        <v>68025.98043677122</v>
      </c>
      <c r="O43" s="56">
        <f t="shared" si="12"/>
        <v>74712.7956150731</v>
      </c>
      <c r="P43" s="57">
        <f t="shared" si="12"/>
        <v>73031.87946589445</v>
      </c>
      <c r="Q43" s="134">
        <f t="shared" si="12"/>
        <v>68257.11512215911</v>
      </c>
      <c r="R43" s="136">
        <f t="shared" si="12"/>
        <v>58834.19573724039</v>
      </c>
      <c r="S43" s="45"/>
    </row>
    <row r="44" spans="1:19" s="46" customFormat="1" ht="24" customHeight="1" thickBot="1">
      <c r="A44" s="162" t="s">
        <v>23</v>
      </c>
      <c r="B44" s="163"/>
      <c r="C44" s="164"/>
      <c r="D44" s="69">
        <f>'P一般'!D44</f>
        <v>107.15</v>
      </c>
      <c r="E44" s="70">
        <f>'P一般'!E44</f>
        <v>106.02</v>
      </c>
      <c r="F44" s="70">
        <f>'P一般'!F44</f>
        <v>107.9</v>
      </c>
      <c r="G44" s="70">
        <f>'P一般'!G44</f>
        <v>110.6</v>
      </c>
      <c r="H44" s="70">
        <f>'P一般'!H44</f>
        <v>111.54</v>
      </c>
      <c r="I44" s="71">
        <f>'P一般'!I44</f>
        <v>110.21</v>
      </c>
      <c r="J44" s="72"/>
      <c r="K44" s="71">
        <f>'P一般'!K44</f>
        <v>113.34</v>
      </c>
      <c r="L44" s="70">
        <f>'P一般'!L44</f>
        <v>116.67</v>
      </c>
      <c r="M44" s="70">
        <f>'P一般'!M44</f>
        <v>119.52</v>
      </c>
      <c r="N44" s="70">
        <f>'P一般'!N44</f>
        <v>116.1</v>
      </c>
      <c r="O44" s="70">
        <f>'P一般'!O44</f>
        <v>116.92</v>
      </c>
      <c r="P44" s="71">
        <f>'P一般'!P44</f>
        <v>117.49</v>
      </c>
      <c r="Q44" s="89">
        <v>116.86264639448166</v>
      </c>
      <c r="R44" s="84">
        <v>113.05614996656949</v>
      </c>
      <c r="S44" s="45"/>
    </row>
    <row r="45" spans="1:18" ht="15.75" customHeight="1">
      <c r="A45" s="113" t="s">
        <v>79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10"/>
      <c r="I46" s="8"/>
      <c r="J46" s="8"/>
      <c r="K46" s="8"/>
      <c r="L46" s="8"/>
      <c r="M46" s="8"/>
      <c r="N46" s="8"/>
      <c r="O46" s="10"/>
      <c r="P46" s="10"/>
      <c r="Q46" s="8"/>
      <c r="R46" s="11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5" zoomScaleNormal="75" workbookViewId="0" topLeftCell="A1">
      <pane xSplit="3" ySplit="4" topLeftCell="D20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Q44" sqref="Q44:R44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customWidth="1"/>
    <col min="11" max="16" width="10.7109375" style="0" customWidth="1"/>
    <col min="17" max="18" width="12.140625" style="0" customWidth="1"/>
    <col min="19" max="19" width="9.00390625" style="0" customWidth="1"/>
  </cols>
  <sheetData>
    <row r="2" spans="1:16" ht="27" customHeight="1">
      <c r="A2" s="17" t="s">
        <v>7</v>
      </c>
      <c r="B2" s="34" t="s">
        <v>75</v>
      </c>
      <c r="C2" s="1"/>
      <c r="D2" s="156" t="s">
        <v>78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8" ht="18" customHeight="1" thickBot="1">
      <c r="A3" s="2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52" t="s">
        <v>32</v>
      </c>
      <c r="B5" s="47" t="s">
        <v>26</v>
      </c>
      <c r="C5" s="48" t="s">
        <v>4</v>
      </c>
      <c r="D5" s="105">
        <f>'B原料'!D5+'P原料'!D5</f>
        <v>0</v>
      </c>
      <c r="E5" s="106">
        <f>'B原料'!E5+'P原料'!E5</f>
        <v>10064</v>
      </c>
      <c r="F5" s="106">
        <f>'B原料'!F5+'P原料'!F5</f>
        <v>560</v>
      </c>
      <c r="G5" s="106">
        <f>'B原料'!G5+'P原料'!G5</f>
        <v>0</v>
      </c>
      <c r="H5" s="106">
        <f>'B原料'!H5+'P原料'!H5</f>
        <v>22531</v>
      </c>
      <c r="I5" s="107">
        <f>'B原料'!I5+'P原料'!I5</f>
        <v>0</v>
      </c>
      <c r="J5" s="108">
        <f>SUM(D5:I5)</f>
        <v>33155</v>
      </c>
      <c r="K5" s="105">
        <f>'B原料'!K5+'P原料'!K5</f>
        <v>19192</v>
      </c>
      <c r="L5" s="106">
        <f>'B原料'!L5+'P原料'!L5</f>
        <v>0</v>
      </c>
      <c r="M5" s="106">
        <f>'B原料'!M5+'P原料'!M5</f>
        <v>0</v>
      </c>
      <c r="N5" s="106">
        <f>'B原料'!N5+'P原料'!N5</f>
        <v>0</v>
      </c>
      <c r="O5" s="106">
        <f>'B原料'!O5+'P原料'!O5</f>
        <v>4500</v>
      </c>
      <c r="P5" s="107">
        <f>'B原料'!P5+'P原料'!P5</f>
        <v>6000</v>
      </c>
      <c r="Q5" s="108">
        <f>SUM(K5:P5)</f>
        <v>29692</v>
      </c>
      <c r="R5" s="109">
        <f>Q5+J5</f>
        <v>62847</v>
      </c>
      <c r="S5" s="45"/>
    </row>
    <row r="6" spans="1:19" s="46" customFormat="1" ht="13.5" customHeight="1">
      <c r="A6" s="153"/>
      <c r="B6" s="47" t="s">
        <v>28</v>
      </c>
      <c r="C6" s="48" t="s">
        <v>5</v>
      </c>
      <c r="D6" s="105">
        <f>'B原料'!D6+'P原料'!D6</f>
        <v>0</v>
      </c>
      <c r="E6" s="106">
        <f>'B原料'!E6+'P原料'!E6</f>
        <v>487668</v>
      </c>
      <c r="F6" s="106">
        <f>'B原料'!F6+'P原料'!F6</f>
        <v>26775</v>
      </c>
      <c r="G6" s="106">
        <f>'B原料'!G6+'P原料'!G6</f>
        <v>0</v>
      </c>
      <c r="H6" s="106">
        <f>'B原料'!H6+'P原料'!H6</f>
        <v>1101808</v>
      </c>
      <c r="I6" s="107">
        <f>'B原料'!I6+'P原料'!I6</f>
        <v>0</v>
      </c>
      <c r="J6" s="108">
        <f>SUM(D6:I6)</f>
        <v>1616251</v>
      </c>
      <c r="K6" s="105">
        <f>'B原料'!K6+'P原料'!K6</f>
        <v>1103200</v>
      </c>
      <c r="L6" s="106">
        <f>'B原料'!L6+'P原料'!L6</f>
        <v>0</v>
      </c>
      <c r="M6" s="106">
        <f>'B原料'!M6+'P原料'!M6</f>
        <v>0</v>
      </c>
      <c r="N6" s="106">
        <f>'B原料'!N6+'P原料'!N6</f>
        <v>0</v>
      </c>
      <c r="O6" s="106">
        <f>'B原料'!O6+'P原料'!O6</f>
        <v>359914</v>
      </c>
      <c r="P6" s="107">
        <f>'B原料'!P6+'P原料'!P6</f>
        <v>406239</v>
      </c>
      <c r="Q6" s="108">
        <f>SUM(K6:P6)</f>
        <v>1869353</v>
      </c>
      <c r="R6" s="109">
        <f>Q6+J6</f>
        <v>3485604</v>
      </c>
      <c r="S6" s="45"/>
    </row>
    <row r="7" spans="1:19" s="46" customFormat="1" ht="13.5" customHeight="1" thickBot="1">
      <c r="A7" s="154"/>
      <c r="B7" s="20" t="s">
        <v>30</v>
      </c>
      <c r="C7" s="55" t="s">
        <v>6</v>
      </c>
      <c r="D7" s="65">
        <f aca="true" t="shared" si="0" ref="D7:R7">IF(D5=0,"",(D6/D5)*1000)</f>
      </c>
      <c r="E7" s="56">
        <f t="shared" si="0"/>
        <v>48456.677265500795</v>
      </c>
      <c r="F7" s="56">
        <f t="shared" si="0"/>
        <v>47812.5</v>
      </c>
      <c r="G7" s="56">
        <f t="shared" si="0"/>
      </c>
      <c r="H7" s="56">
        <f t="shared" si="0"/>
        <v>48901.86853668279</v>
      </c>
      <c r="I7" s="57">
        <f t="shared" si="0"/>
      </c>
      <c r="J7" s="58">
        <f t="shared" si="0"/>
        <v>48748.33358467803</v>
      </c>
      <c r="K7" s="57">
        <f t="shared" si="0"/>
        <v>57482.2842851188</v>
      </c>
      <c r="L7" s="56">
        <f t="shared" si="0"/>
      </c>
      <c r="M7" s="56">
        <f t="shared" si="0"/>
      </c>
      <c r="N7" s="56">
        <f t="shared" si="0"/>
      </c>
      <c r="O7" s="56">
        <f t="shared" si="0"/>
        <v>79980.88888888889</v>
      </c>
      <c r="P7" s="57">
        <f t="shared" si="0"/>
        <v>67706.5</v>
      </c>
      <c r="Q7" s="58">
        <f t="shared" si="0"/>
        <v>62958.136871884686</v>
      </c>
      <c r="R7" s="59">
        <f t="shared" si="0"/>
        <v>55461.740417203684</v>
      </c>
      <c r="S7" s="45"/>
    </row>
    <row r="8" spans="1:19" s="46" customFormat="1" ht="13.5" customHeight="1">
      <c r="A8" s="155" t="s">
        <v>33</v>
      </c>
      <c r="B8" s="47" t="s">
        <v>26</v>
      </c>
      <c r="C8" s="48" t="s">
        <v>4</v>
      </c>
      <c r="D8" s="105">
        <f>'B原料'!D8+'P原料'!D8</f>
        <v>0</v>
      </c>
      <c r="E8" s="106">
        <f>'B原料'!E8+'P原料'!E8</f>
        <v>0</v>
      </c>
      <c r="F8" s="106">
        <f>'B原料'!F8+'P原料'!F8</f>
        <v>0</v>
      </c>
      <c r="G8" s="106">
        <f>'B原料'!G8+'P原料'!G8</f>
        <v>0</v>
      </c>
      <c r="H8" s="106">
        <f>'B原料'!H8+'P原料'!H8</f>
        <v>0</v>
      </c>
      <c r="I8" s="107">
        <f>'B原料'!I8+'P原料'!I8</f>
        <v>10700</v>
      </c>
      <c r="J8" s="108">
        <f>SUM(D8:I8)</f>
        <v>10700</v>
      </c>
      <c r="K8" s="105">
        <f>'B原料'!K8+'P原料'!K8</f>
        <v>17018</v>
      </c>
      <c r="L8" s="106">
        <f>'B原料'!L8+'P原料'!L8</f>
        <v>0</v>
      </c>
      <c r="M8" s="106">
        <f>'B原料'!M8+'P原料'!M8</f>
        <v>7369</v>
      </c>
      <c r="N8" s="106">
        <f>'B原料'!N8+'P原料'!N8</f>
        <v>4500</v>
      </c>
      <c r="O8" s="106">
        <f>'B原料'!O8+'P原料'!O8</f>
        <v>1745</v>
      </c>
      <c r="P8" s="107">
        <f>'B原料'!P8+'P原料'!P8</f>
        <v>0</v>
      </c>
      <c r="Q8" s="108">
        <f>SUM(K8:P8)</f>
        <v>30632</v>
      </c>
      <c r="R8" s="109">
        <f>Q8+J8</f>
        <v>41332</v>
      </c>
      <c r="S8" s="45"/>
    </row>
    <row r="9" spans="1:19" s="46" customFormat="1" ht="13.5" customHeight="1">
      <c r="A9" s="153"/>
      <c r="B9" s="47" t="s">
        <v>28</v>
      </c>
      <c r="C9" s="48" t="s">
        <v>5</v>
      </c>
      <c r="D9" s="105">
        <f>'B原料'!D9+'P原料'!D9</f>
        <v>0</v>
      </c>
      <c r="E9" s="106">
        <f>'B原料'!E9+'P原料'!E9</f>
        <v>0</v>
      </c>
      <c r="F9" s="106">
        <f>'B原料'!F9+'P原料'!F9</f>
        <v>0</v>
      </c>
      <c r="G9" s="106">
        <f>'B原料'!G9+'P原料'!G9</f>
        <v>0</v>
      </c>
      <c r="H9" s="106">
        <f>'B原料'!H9+'P原料'!H9</f>
        <v>0</v>
      </c>
      <c r="I9" s="107">
        <f>'B原料'!I9+'P原料'!I9</f>
        <v>517000</v>
      </c>
      <c r="J9" s="108">
        <f>SUM(D9:I9)</f>
        <v>517000</v>
      </c>
      <c r="K9" s="105">
        <f>'B原料'!K9+'P原料'!K9</f>
        <v>1096833</v>
      </c>
      <c r="L9" s="106">
        <f>'B原料'!L9+'P原料'!L9</f>
        <v>0</v>
      </c>
      <c r="M9" s="106">
        <f>'B原料'!M9+'P原料'!M9</f>
        <v>515728</v>
      </c>
      <c r="N9" s="106">
        <f>'B原料'!N9+'P原料'!N9</f>
        <v>306024</v>
      </c>
      <c r="O9" s="106">
        <f>'B原料'!O9+'P原料'!O9</f>
        <v>138905</v>
      </c>
      <c r="P9" s="107">
        <f>'B原料'!P9+'P原料'!P9</f>
        <v>0</v>
      </c>
      <c r="Q9" s="108">
        <f>SUM(K9:P9)</f>
        <v>2057490</v>
      </c>
      <c r="R9" s="109">
        <f>Q9+J9</f>
        <v>2574490</v>
      </c>
      <c r="S9" s="45"/>
    </row>
    <row r="10" spans="1:19" s="46" customFormat="1" ht="13.5" customHeight="1" thickBot="1">
      <c r="A10" s="154"/>
      <c r="B10" s="20" t="s">
        <v>30</v>
      </c>
      <c r="C10" s="55" t="s">
        <v>6</v>
      </c>
      <c r="D10" s="65">
        <f aca="true" t="shared" si="1" ref="D10:R10">IF(D8=0,"",(D9/D8)*1000)</f>
      </c>
      <c r="E10" s="56">
        <f t="shared" si="1"/>
      </c>
      <c r="F10" s="56">
        <f t="shared" si="1"/>
      </c>
      <c r="G10" s="56">
        <f t="shared" si="1"/>
      </c>
      <c r="H10" s="56">
        <f t="shared" si="1"/>
      </c>
      <c r="I10" s="57">
        <f t="shared" si="1"/>
        <v>48317.7570093458</v>
      </c>
      <c r="J10" s="58">
        <f t="shared" si="1"/>
        <v>48317.7570093458</v>
      </c>
      <c r="K10" s="57">
        <f t="shared" si="1"/>
        <v>64451.34563403455</v>
      </c>
      <c r="L10" s="56">
        <f t="shared" si="1"/>
      </c>
      <c r="M10" s="56">
        <f t="shared" si="1"/>
        <v>69986.15823042474</v>
      </c>
      <c r="N10" s="56">
        <f t="shared" si="1"/>
        <v>68005.33333333334</v>
      </c>
      <c r="O10" s="56">
        <f t="shared" si="1"/>
        <v>79601.71919770773</v>
      </c>
      <c r="P10" s="57">
        <f t="shared" si="1"/>
      </c>
      <c r="Q10" s="58">
        <f t="shared" si="1"/>
        <v>67167.99425437451</v>
      </c>
      <c r="R10" s="59">
        <f t="shared" si="1"/>
        <v>62288.05767927998</v>
      </c>
      <c r="S10" s="45"/>
    </row>
    <row r="11" spans="1:19" s="46" customFormat="1" ht="13.5" customHeight="1">
      <c r="A11" s="155" t="s">
        <v>35</v>
      </c>
      <c r="B11" s="47" t="s">
        <v>26</v>
      </c>
      <c r="C11" s="48" t="s">
        <v>4</v>
      </c>
      <c r="D11" s="105">
        <f>'B原料'!D11+'P原料'!D11</f>
        <v>0</v>
      </c>
      <c r="E11" s="106">
        <f>'B原料'!E11+'P原料'!E11</f>
        <v>0</v>
      </c>
      <c r="F11" s="106">
        <f>'B原料'!F11+'P原料'!F11</f>
        <v>0</v>
      </c>
      <c r="G11" s="106">
        <f>'B原料'!G11+'P原料'!G11</f>
        <v>0</v>
      </c>
      <c r="H11" s="106">
        <f>'B原料'!H11+'P原料'!H11</f>
        <v>0</v>
      </c>
      <c r="I11" s="107">
        <f>'B原料'!I11+'P原料'!I11</f>
        <v>0</v>
      </c>
      <c r="J11" s="52">
        <f>SUM(D11:I11)</f>
        <v>0</v>
      </c>
      <c r="K11" s="105">
        <f>'B原料'!K11+'P原料'!K11</f>
        <v>0</v>
      </c>
      <c r="L11" s="106">
        <f>'B原料'!L11+'P原料'!L11</f>
        <v>0</v>
      </c>
      <c r="M11" s="106">
        <f>'B原料'!M11+'P原料'!M11</f>
        <v>0</v>
      </c>
      <c r="N11" s="106">
        <f>'B原料'!N11+'P原料'!N11</f>
        <v>0</v>
      </c>
      <c r="O11" s="106">
        <f>'B原料'!O11+'P原料'!O11</f>
        <v>0</v>
      </c>
      <c r="P11" s="107">
        <f>'B原料'!P11+'P原料'!P11</f>
        <v>0</v>
      </c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53"/>
      <c r="B12" s="47" t="s">
        <v>28</v>
      </c>
      <c r="C12" s="48" t="s">
        <v>5</v>
      </c>
      <c r="D12" s="105">
        <f>'B原料'!D12+'P原料'!D12</f>
        <v>0</v>
      </c>
      <c r="E12" s="106">
        <f>'B原料'!E12+'P原料'!E12</f>
        <v>0</v>
      </c>
      <c r="F12" s="106">
        <f>'B原料'!F12+'P原料'!F12</f>
        <v>0</v>
      </c>
      <c r="G12" s="106">
        <f>'B原料'!G12+'P原料'!G12</f>
        <v>0</v>
      </c>
      <c r="H12" s="106">
        <f>'B原料'!H12+'P原料'!H12</f>
        <v>0</v>
      </c>
      <c r="I12" s="107">
        <f>'B原料'!I12+'P原料'!I12</f>
        <v>0</v>
      </c>
      <c r="J12" s="52">
        <f>SUM(D12:I12)</f>
        <v>0</v>
      </c>
      <c r="K12" s="105">
        <f>'B原料'!K12+'P原料'!K12</f>
        <v>0</v>
      </c>
      <c r="L12" s="106">
        <f>'B原料'!L12+'P原料'!L12</f>
        <v>0</v>
      </c>
      <c r="M12" s="106">
        <f>'B原料'!M12+'P原料'!M12</f>
        <v>0</v>
      </c>
      <c r="N12" s="106">
        <f>'B原料'!N12+'P原料'!N12</f>
        <v>0</v>
      </c>
      <c r="O12" s="106">
        <f>'B原料'!O12+'P原料'!O12</f>
        <v>0</v>
      </c>
      <c r="P12" s="107">
        <f>'B原料'!P12+'P原料'!P12</f>
        <v>0</v>
      </c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54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</c>
      <c r="F13" s="56">
        <f t="shared" si="2"/>
      </c>
      <c r="G13" s="56">
        <f t="shared" si="2"/>
      </c>
      <c r="H13" s="56">
        <f t="shared" si="2"/>
      </c>
      <c r="I13" s="57">
        <f t="shared" si="2"/>
      </c>
      <c r="J13" s="58">
        <f t="shared" si="2"/>
      </c>
      <c r="K13" s="57">
        <f t="shared" si="2"/>
      </c>
      <c r="L13" s="56">
        <f t="shared" si="2"/>
      </c>
      <c r="M13" s="56">
        <f t="shared" si="2"/>
      </c>
      <c r="N13" s="56">
        <f t="shared" si="2"/>
      </c>
      <c r="O13" s="56">
        <f t="shared" si="2"/>
      </c>
      <c r="P13" s="57">
        <f t="shared" si="2"/>
      </c>
      <c r="Q13" s="58">
        <f t="shared" si="2"/>
      </c>
      <c r="R13" s="59">
        <f t="shared" si="2"/>
      </c>
      <c r="S13" s="45"/>
    </row>
    <row r="14" spans="1:19" s="46" customFormat="1" ht="13.5" customHeight="1">
      <c r="A14" s="155" t="s">
        <v>37</v>
      </c>
      <c r="B14" s="47" t="s">
        <v>26</v>
      </c>
      <c r="C14" s="48" t="s">
        <v>4</v>
      </c>
      <c r="D14" s="105">
        <f>'B原料'!D14+'P原料'!D14</f>
        <v>0</v>
      </c>
      <c r="E14" s="106">
        <f>'B原料'!E14+'P原料'!E14</f>
        <v>0</v>
      </c>
      <c r="F14" s="106">
        <f>'B原料'!F14+'P原料'!F14</f>
        <v>0</v>
      </c>
      <c r="G14" s="106">
        <f>'B原料'!G14+'P原料'!G14</f>
        <v>0</v>
      </c>
      <c r="H14" s="106">
        <f>'B原料'!H14+'P原料'!H14</f>
        <v>0</v>
      </c>
      <c r="I14" s="107">
        <f>'B原料'!I14+'P原料'!I14</f>
        <v>0</v>
      </c>
      <c r="J14" s="52">
        <f>SUM(D14:I14)</f>
        <v>0</v>
      </c>
      <c r="K14" s="105">
        <f>'B原料'!K14+'P原料'!K14</f>
        <v>0</v>
      </c>
      <c r="L14" s="106">
        <f>'B原料'!L14+'P原料'!L14</f>
        <v>0</v>
      </c>
      <c r="M14" s="106">
        <f>'B原料'!M14+'P原料'!M14</f>
        <v>0</v>
      </c>
      <c r="N14" s="106">
        <f>'B原料'!N14+'P原料'!N14</f>
        <v>0</v>
      </c>
      <c r="O14" s="106">
        <f>'B原料'!O14+'P原料'!O14</f>
        <v>0</v>
      </c>
      <c r="P14" s="107">
        <f>'B原料'!P14+'P原料'!P14</f>
        <v>0</v>
      </c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53"/>
      <c r="B15" s="47" t="s">
        <v>28</v>
      </c>
      <c r="C15" s="48" t="s">
        <v>5</v>
      </c>
      <c r="D15" s="105">
        <f>'B原料'!D15+'P原料'!D15</f>
        <v>0</v>
      </c>
      <c r="E15" s="106">
        <f>'B原料'!E15+'P原料'!E15</f>
        <v>0</v>
      </c>
      <c r="F15" s="106">
        <f>'B原料'!F15+'P原料'!F15</f>
        <v>0</v>
      </c>
      <c r="G15" s="106">
        <f>'B原料'!G15+'P原料'!G15</f>
        <v>0</v>
      </c>
      <c r="H15" s="106">
        <f>'B原料'!H15+'P原料'!H15</f>
        <v>0</v>
      </c>
      <c r="I15" s="107">
        <f>'B原料'!I15+'P原料'!I15</f>
        <v>0</v>
      </c>
      <c r="J15" s="52">
        <f>SUM(D15:I15)</f>
        <v>0</v>
      </c>
      <c r="K15" s="105">
        <f>'B原料'!K15+'P原料'!K15</f>
        <v>0</v>
      </c>
      <c r="L15" s="106">
        <f>'B原料'!L15+'P原料'!L15</f>
        <v>0</v>
      </c>
      <c r="M15" s="106">
        <f>'B原料'!M15+'P原料'!M15</f>
        <v>0</v>
      </c>
      <c r="N15" s="106">
        <f>'B原料'!N15+'P原料'!N15</f>
        <v>0</v>
      </c>
      <c r="O15" s="106">
        <f>'B原料'!O15+'P原料'!O15</f>
        <v>0</v>
      </c>
      <c r="P15" s="107">
        <f>'B原料'!P15+'P原料'!P15</f>
        <v>0</v>
      </c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54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55" t="s">
        <v>39</v>
      </c>
      <c r="B17" s="47" t="s">
        <v>26</v>
      </c>
      <c r="C17" s="48" t="s">
        <v>4</v>
      </c>
      <c r="D17" s="105">
        <f>'B原料'!D17+'P原料'!D17</f>
        <v>0</v>
      </c>
      <c r="E17" s="106">
        <f>'B原料'!E17+'P原料'!E17</f>
        <v>3994</v>
      </c>
      <c r="F17" s="106">
        <f>'B原料'!F17+'P原料'!F17</f>
        <v>0</v>
      </c>
      <c r="G17" s="106">
        <f>'B原料'!G17+'P原料'!G17</f>
        <v>0</v>
      </c>
      <c r="H17" s="106">
        <f>'B原料'!H17+'P原料'!H17</f>
        <v>5484</v>
      </c>
      <c r="I17" s="107">
        <f>'B原料'!I17+'P原料'!I17</f>
        <v>0</v>
      </c>
      <c r="J17" s="108">
        <f>SUM(D17:I17)</f>
        <v>9478</v>
      </c>
      <c r="K17" s="105">
        <f>'B原料'!K17+'P原料'!K17</f>
        <v>0</v>
      </c>
      <c r="L17" s="106">
        <f>'B原料'!L17+'P原料'!L17</f>
        <v>0</v>
      </c>
      <c r="M17" s="106">
        <f>'B原料'!M17+'P原料'!M17</f>
        <v>0</v>
      </c>
      <c r="N17" s="106">
        <f>'B原料'!N17+'P原料'!N17</f>
        <v>0</v>
      </c>
      <c r="O17" s="106">
        <f>'B原料'!O17+'P原料'!O17</f>
        <v>0</v>
      </c>
      <c r="P17" s="107">
        <f>'B原料'!P17+'P原料'!P17</f>
        <v>0</v>
      </c>
      <c r="Q17" s="108">
        <f>SUM(K17:P17)</f>
        <v>0</v>
      </c>
      <c r="R17" s="109">
        <f>Q17+J17</f>
        <v>9478</v>
      </c>
      <c r="S17" s="45"/>
    </row>
    <row r="18" spans="1:19" s="46" customFormat="1" ht="13.5" customHeight="1">
      <c r="A18" s="153"/>
      <c r="B18" s="47" t="s">
        <v>28</v>
      </c>
      <c r="C18" s="48" t="s">
        <v>5</v>
      </c>
      <c r="D18" s="105">
        <f>'B原料'!D18+'P原料'!D18</f>
        <v>0</v>
      </c>
      <c r="E18" s="106">
        <f>'B原料'!E18+'P原料'!E18</f>
        <v>188334</v>
      </c>
      <c r="F18" s="106">
        <f>'B原料'!F18+'P原料'!F18</f>
        <v>0</v>
      </c>
      <c r="G18" s="106">
        <f>'B原料'!G18+'P原料'!G18</f>
        <v>0</v>
      </c>
      <c r="H18" s="106">
        <f>'B原料'!H18+'P原料'!H18</f>
        <v>271018</v>
      </c>
      <c r="I18" s="107">
        <f>'B原料'!I18+'P原料'!I18</f>
        <v>0</v>
      </c>
      <c r="J18" s="108">
        <f>SUM(D18:I18)</f>
        <v>459352</v>
      </c>
      <c r="K18" s="105">
        <f>'B原料'!K18+'P原料'!K18</f>
        <v>0</v>
      </c>
      <c r="L18" s="106">
        <f>'B原料'!L18+'P原料'!L18</f>
        <v>0</v>
      </c>
      <c r="M18" s="106">
        <f>'B原料'!M18+'P原料'!M18</f>
        <v>0</v>
      </c>
      <c r="N18" s="106">
        <f>'B原料'!N18+'P原料'!N18</f>
        <v>0</v>
      </c>
      <c r="O18" s="106">
        <f>'B原料'!O18+'P原料'!O18</f>
        <v>0</v>
      </c>
      <c r="P18" s="107">
        <f>'B原料'!P18+'P原料'!P18</f>
        <v>0</v>
      </c>
      <c r="Q18" s="108">
        <f>SUM(K18:P18)</f>
        <v>0</v>
      </c>
      <c r="R18" s="109">
        <f>Q18+J18</f>
        <v>459352</v>
      </c>
      <c r="S18" s="45"/>
    </row>
    <row r="19" spans="1:19" s="46" customFormat="1" ht="13.5" customHeight="1" thickBot="1">
      <c r="A19" s="154"/>
      <c r="B19" s="20" t="s">
        <v>30</v>
      </c>
      <c r="C19" s="55" t="s">
        <v>6</v>
      </c>
      <c r="D19" s="65">
        <f aca="true" t="shared" si="4" ref="D19:R19">IF(D17=0,"",(D18/D17)*1000)</f>
      </c>
      <c r="E19" s="56">
        <f t="shared" si="4"/>
        <v>47154.23134702053</v>
      </c>
      <c r="F19" s="56">
        <f t="shared" si="4"/>
      </c>
      <c r="G19" s="56">
        <f t="shared" si="4"/>
      </c>
      <c r="H19" s="56">
        <f t="shared" si="4"/>
        <v>49419.7665937272</v>
      </c>
      <c r="I19" s="57">
        <f t="shared" si="4"/>
      </c>
      <c r="J19" s="58">
        <f t="shared" si="4"/>
        <v>48465.07702046846</v>
      </c>
      <c r="K19" s="57">
        <f t="shared" si="4"/>
      </c>
      <c r="L19" s="56">
        <f t="shared" si="4"/>
      </c>
      <c r="M19" s="56">
        <f t="shared" si="4"/>
      </c>
      <c r="N19" s="56">
        <f t="shared" si="4"/>
      </c>
      <c r="O19" s="56">
        <f t="shared" si="4"/>
      </c>
      <c r="P19" s="57">
        <f t="shared" si="4"/>
      </c>
      <c r="Q19" s="58">
        <f t="shared" si="4"/>
      </c>
      <c r="R19" s="59">
        <f t="shared" si="4"/>
        <v>48465.07702046846</v>
      </c>
      <c r="S19" s="45"/>
    </row>
    <row r="20" spans="1:19" s="46" customFormat="1" ht="13.5" customHeight="1">
      <c r="A20" s="158" t="s">
        <v>41</v>
      </c>
      <c r="B20" s="47" t="s">
        <v>26</v>
      </c>
      <c r="C20" s="48" t="s">
        <v>4</v>
      </c>
      <c r="D20" s="105">
        <f>'B原料'!D20+'P原料'!D20</f>
        <v>0</v>
      </c>
      <c r="E20" s="106">
        <f>'B原料'!E20+'P原料'!E20</f>
        <v>16444</v>
      </c>
      <c r="F20" s="106">
        <f>'B原料'!F20+'P原料'!F20</f>
        <v>27641</v>
      </c>
      <c r="G20" s="106">
        <f>'B原料'!G20+'P原料'!G20</f>
        <v>1200</v>
      </c>
      <c r="H20" s="106">
        <f>'B原料'!H20+'P原料'!H20</f>
        <v>0</v>
      </c>
      <c r="I20" s="107">
        <f>'B原料'!I20+'P原料'!I20</f>
        <v>47611</v>
      </c>
      <c r="J20" s="108">
        <f>SUM(D20:I20)</f>
        <v>92896</v>
      </c>
      <c r="K20" s="105">
        <f>'B原料'!K20+'P原料'!K20</f>
        <v>30655</v>
      </c>
      <c r="L20" s="106">
        <f>'B原料'!L20+'P原料'!L20</f>
        <v>13479</v>
      </c>
      <c r="M20" s="106">
        <f>'B原料'!M20+'P原料'!M20</f>
        <v>0</v>
      </c>
      <c r="N20" s="106">
        <f>'B原料'!N20+'P原料'!N20</f>
        <v>11740</v>
      </c>
      <c r="O20" s="106">
        <f>'B原料'!O20+'P原料'!O20</f>
        <v>0</v>
      </c>
      <c r="P20" s="107">
        <f>'B原料'!P20+'P原料'!P20</f>
        <v>9000</v>
      </c>
      <c r="Q20" s="108">
        <f>SUM(K20:P20)</f>
        <v>64874</v>
      </c>
      <c r="R20" s="109">
        <f>Q20+J20</f>
        <v>157770</v>
      </c>
      <c r="S20" s="45"/>
    </row>
    <row r="21" spans="1:19" s="46" customFormat="1" ht="13.5" customHeight="1">
      <c r="A21" s="159"/>
      <c r="B21" s="47" t="s">
        <v>28</v>
      </c>
      <c r="C21" s="48" t="s">
        <v>5</v>
      </c>
      <c r="D21" s="105">
        <f>'B原料'!D21+'P原料'!D21</f>
        <v>0</v>
      </c>
      <c r="E21" s="106">
        <f>'B原料'!E21+'P原料'!E21</f>
        <v>712853</v>
      </c>
      <c r="F21" s="106">
        <f>'B原料'!F21+'P原料'!F21</f>
        <v>1352455</v>
      </c>
      <c r="G21" s="106">
        <f>'B原料'!G21+'P原料'!G21</f>
        <v>57306</v>
      </c>
      <c r="H21" s="106">
        <f>'B原料'!H21+'P原料'!H21</f>
        <v>0</v>
      </c>
      <c r="I21" s="107">
        <f>'B原料'!I21+'P原料'!I21</f>
        <v>2451469</v>
      </c>
      <c r="J21" s="108">
        <f>SUM(D21:I21)</f>
        <v>4574083</v>
      </c>
      <c r="K21" s="105">
        <f>'B原料'!K21+'P原料'!K21</f>
        <v>1648313</v>
      </c>
      <c r="L21" s="106">
        <f>'B原料'!L21+'P原料'!L21</f>
        <v>777591</v>
      </c>
      <c r="M21" s="106">
        <f>'B原料'!M21+'P原料'!M21</f>
        <v>0</v>
      </c>
      <c r="N21" s="106">
        <f>'B原料'!N21+'P原料'!N21</f>
        <v>789084</v>
      </c>
      <c r="O21" s="106">
        <f>'B原料'!O21+'P原料'!O21</f>
        <v>0</v>
      </c>
      <c r="P21" s="107">
        <f>'B原料'!P21+'P原料'!P21</f>
        <v>696945</v>
      </c>
      <c r="Q21" s="108">
        <f>SUM(K21:P21)</f>
        <v>3911933</v>
      </c>
      <c r="R21" s="109">
        <f>Q21+J21</f>
        <v>8486016</v>
      </c>
      <c r="S21" s="45"/>
    </row>
    <row r="22" spans="1:19" s="46" customFormat="1" ht="13.5" customHeight="1" thickBot="1">
      <c r="A22" s="160"/>
      <c r="B22" s="20" t="s">
        <v>30</v>
      </c>
      <c r="C22" s="55" t="s">
        <v>6</v>
      </c>
      <c r="D22" s="65">
        <f aca="true" t="shared" si="5" ref="D22:R22">IF(D20=0,"",(D21/D20)*1000)</f>
      </c>
      <c r="E22" s="56">
        <f t="shared" si="5"/>
        <v>43350.340549744586</v>
      </c>
      <c r="F22" s="56">
        <f t="shared" si="5"/>
        <v>48929.30791215947</v>
      </c>
      <c r="G22" s="56">
        <f t="shared" si="5"/>
        <v>47755</v>
      </c>
      <c r="H22" s="56">
        <f t="shared" si="5"/>
      </c>
      <c r="I22" s="57">
        <f t="shared" si="5"/>
        <v>51489.55073407406</v>
      </c>
      <c r="J22" s="58">
        <f t="shared" si="5"/>
        <v>49238.75086117809</v>
      </c>
      <c r="K22" s="57">
        <f t="shared" si="5"/>
        <v>53769.792855977816</v>
      </c>
      <c r="L22" s="56">
        <f t="shared" si="5"/>
        <v>57689.07188960606</v>
      </c>
      <c r="M22" s="56">
        <f t="shared" si="5"/>
      </c>
      <c r="N22" s="56">
        <f t="shared" si="5"/>
        <v>67213.28790459965</v>
      </c>
      <c r="O22" s="56">
        <f t="shared" si="5"/>
      </c>
      <c r="P22" s="57">
        <f t="shared" si="5"/>
        <v>77438.33333333333</v>
      </c>
      <c r="Q22" s="58">
        <f t="shared" si="5"/>
        <v>60300.47476647039</v>
      </c>
      <c r="R22" s="59">
        <f t="shared" si="5"/>
        <v>53787.25993534893</v>
      </c>
      <c r="S22" s="45"/>
    </row>
    <row r="23" spans="1:19" s="46" customFormat="1" ht="13.5" customHeight="1">
      <c r="A23" s="155" t="s">
        <v>42</v>
      </c>
      <c r="B23" s="47" t="s">
        <v>26</v>
      </c>
      <c r="C23" s="48" t="s">
        <v>4</v>
      </c>
      <c r="D23" s="105">
        <f>'B原料'!D23+'P原料'!D23</f>
        <v>0</v>
      </c>
      <c r="E23" s="106">
        <f>'B原料'!E23+'P原料'!E23</f>
        <v>11393</v>
      </c>
      <c r="F23" s="106">
        <f>'B原料'!F23+'P原料'!F23</f>
        <v>0</v>
      </c>
      <c r="G23" s="106">
        <f>'B原料'!G23+'P原料'!G23</f>
        <v>0</v>
      </c>
      <c r="H23" s="106">
        <f>'B原料'!H23+'P原料'!H23</f>
        <v>0</v>
      </c>
      <c r="I23" s="107">
        <f>'B原料'!I23+'P原料'!I23</f>
        <v>0</v>
      </c>
      <c r="J23" s="108">
        <f>SUM(D23:I23)</f>
        <v>11393</v>
      </c>
      <c r="K23" s="105">
        <f>'B原料'!K23+'P原料'!K23</f>
        <v>25502</v>
      </c>
      <c r="L23" s="106">
        <f>'B原料'!L23+'P原料'!L23</f>
        <v>810</v>
      </c>
      <c r="M23" s="106">
        <f>'B原料'!M23+'P原料'!M23</f>
        <v>0</v>
      </c>
      <c r="N23" s="106">
        <f>'B原料'!N23+'P原料'!N23</f>
        <v>0</v>
      </c>
      <c r="O23" s="106">
        <f>'B原料'!O23+'P原料'!O23</f>
        <v>0</v>
      </c>
      <c r="P23" s="107">
        <f>'B原料'!P23+'P原料'!P23</f>
        <v>0</v>
      </c>
      <c r="Q23" s="108">
        <f>SUM(K23:P23)</f>
        <v>26312</v>
      </c>
      <c r="R23" s="109">
        <f>Q23+J23</f>
        <v>37705</v>
      </c>
      <c r="S23" s="45"/>
    </row>
    <row r="24" spans="1:19" s="46" customFormat="1" ht="13.5" customHeight="1">
      <c r="A24" s="153"/>
      <c r="B24" s="47" t="s">
        <v>28</v>
      </c>
      <c r="C24" s="48" t="s">
        <v>5</v>
      </c>
      <c r="D24" s="105">
        <f>'B原料'!D24+'P原料'!D24</f>
        <v>0</v>
      </c>
      <c r="E24" s="106">
        <f>'B原料'!E24+'P原料'!E24</f>
        <v>555191</v>
      </c>
      <c r="F24" s="106">
        <f>'B原料'!F24+'P原料'!F24</f>
        <v>0</v>
      </c>
      <c r="G24" s="106">
        <f>'B原料'!G24+'P原料'!G24</f>
        <v>0</v>
      </c>
      <c r="H24" s="106">
        <f>'B原料'!H24+'P原料'!H24</f>
        <v>0</v>
      </c>
      <c r="I24" s="107">
        <f>'B原料'!I24+'P原料'!I24</f>
        <v>0</v>
      </c>
      <c r="J24" s="108">
        <f>SUM(D24:I24)</f>
        <v>555191</v>
      </c>
      <c r="K24" s="105">
        <f>'B原料'!K24+'P原料'!K24</f>
        <v>1487179</v>
      </c>
      <c r="L24" s="106">
        <f>'B原料'!L24+'P原料'!L24</f>
        <v>53041</v>
      </c>
      <c r="M24" s="106">
        <f>'B原料'!M24+'P原料'!M24</f>
        <v>0</v>
      </c>
      <c r="N24" s="106">
        <f>'B原料'!N24+'P原料'!N24</f>
        <v>0</v>
      </c>
      <c r="O24" s="106">
        <f>'B原料'!O24+'P原料'!O24</f>
        <v>0</v>
      </c>
      <c r="P24" s="107">
        <f>'B原料'!P24+'P原料'!P24</f>
        <v>0</v>
      </c>
      <c r="Q24" s="108">
        <f>SUM(K24:P24)</f>
        <v>1540220</v>
      </c>
      <c r="R24" s="109">
        <f>Q24+J24</f>
        <v>2095411</v>
      </c>
      <c r="S24" s="45"/>
    </row>
    <row r="25" spans="1:19" s="46" customFormat="1" ht="13.5" customHeight="1" thickBot="1">
      <c r="A25" s="154"/>
      <c r="B25" s="20" t="s">
        <v>30</v>
      </c>
      <c r="C25" s="55" t="s">
        <v>6</v>
      </c>
      <c r="D25" s="65">
        <f aca="true" t="shared" si="6" ref="D25:R25">IF(D23=0,"",(D24/D23)*1000)</f>
      </c>
      <c r="E25" s="56">
        <f t="shared" si="6"/>
        <v>48730.887386992006</v>
      </c>
      <c r="F25" s="56">
        <f t="shared" si="6"/>
      </c>
      <c r="G25" s="56">
        <f t="shared" si="6"/>
      </c>
      <c r="H25" s="56">
        <f t="shared" si="6"/>
      </c>
      <c r="I25" s="57">
        <f t="shared" si="6"/>
      </c>
      <c r="J25" s="58">
        <f t="shared" si="6"/>
        <v>48730.887386992006</v>
      </c>
      <c r="K25" s="57">
        <f t="shared" si="6"/>
        <v>58316.17128068387</v>
      </c>
      <c r="L25" s="56">
        <f t="shared" si="6"/>
        <v>65482.71604938272</v>
      </c>
      <c r="M25" s="56">
        <f t="shared" si="6"/>
      </c>
      <c r="N25" s="56">
        <f t="shared" si="6"/>
      </c>
      <c r="O25" s="56">
        <f t="shared" si="6"/>
      </c>
      <c r="P25" s="57">
        <f t="shared" si="6"/>
      </c>
      <c r="Q25" s="58">
        <f t="shared" si="6"/>
        <v>58536.78929765886</v>
      </c>
      <c r="R25" s="59">
        <f t="shared" si="6"/>
        <v>55573.823100384565</v>
      </c>
      <c r="S25" s="45"/>
    </row>
    <row r="26" spans="1:19" s="46" customFormat="1" ht="13.5" customHeight="1">
      <c r="A26" s="155" t="s">
        <v>44</v>
      </c>
      <c r="B26" s="47" t="s">
        <v>26</v>
      </c>
      <c r="C26" s="48" t="s">
        <v>4</v>
      </c>
      <c r="D26" s="105">
        <f>'B原料'!D26+'P原料'!D26</f>
        <v>4999</v>
      </c>
      <c r="E26" s="106">
        <f>'B原料'!E26+'P原料'!E26</f>
        <v>0</v>
      </c>
      <c r="F26" s="106">
        <f>'B原料'!F26+'P原料'!F26</f>
        <v>14996</v>
      </c>
      <c r="G26" s="106">
        <f>'B原料'!G26+'P原料'!G26</f>
        <v>0</v>
      </c>
      <c r="H26" s="106">
        <f>'B原料'!H26+'P原料'!H26</f>
        <v>0</v>
      </c>
      <c r="I26" s="107">
        <f>'B原料'!I26+'P原料'!I26</f>
        <v>0</v>
      </c>
      <c r="J26" s="108">
        <f>SUM(D26:I26)</f>
        <v>19995</v>
      </c>
      <c r="K26" s="105">
        <f>'B原料'!K26+'P原料'!K26</f>
        <v>8684</v>
      </c>
      <c r="L26" s="106">
        <f>'B原料'!L26+'P原料'!L26</f>
        <v>0</v>
      </c>
      <c r="M26" s="106">
        <f>'B原料'!M26+'P原料'!M26</f>
        <v>0</v>
      </c>
      <c r="N26" s="106">
        <f>'B原料'!N26+'P原料'!N26</f>
        <v>0</v>
      </c>
      <c r="O26" s="106">
        <f>'B原料'!O26+'P原料'!O26</f>
        <v>0</v>
      </c>
      <c r="P26" s="107">
        <f>'B原料'!P26+'P原料'!P26</f>
        <v>0</v>
      </c>
      <c r="Q26" s="108">
        <f>SUM(K26:P26)</f>
        <v>8684</v>
      </c>
      <c r="R26" s="109">
        <f>Q26+J26</f>
        <v>28679</v>
      </c>
      <c r="S26" s="45"/>
    </row>
    <row r="27" spans="1:19" s="46" customFormat="1" ht="13.5" customHeight="1">
      <c r="A27" s="153"/>
      <c r="B27" s="47" t="s">
        <v>28</v>
      </c>
      <c r="C27" s="48" t="s">
        <v>5</v>
      </c>
      <c r="D27" s="105">
        <f>'B原料'!D27+'P原料'!D27</f>
        <v>243286</v>
      </c>
      <c r="E27" s="106">
        <f>'B原料'!E27+'P原料'!E27</f>
        <v>0</v>
      </c>
      <c r="F27" s="106">
        <f>'B原料'!F27+'P原料'!F27</f>
        <v>693599</v>
      </c>
      <c r="G27" s="106">
        <f>'B原料'!G27+'P原料'!G27</f>
        <v>0</v>
      </c>
      <c r="H27" s="106">
        <f>'B原料'!H27+'P原料'!H27</f>
        <v>0</v>
      </c>
      <c r="I27" s="107">
        <f>'B原料'!I27+'P原料'!I27</f>
        <v>0</v>
      </c>
      <c r="J27" s="108">
        <f>SUM(D27:I27)</f>
        <v>936885</v>
      </c>
      <c r="K27" s="105">
        <f>'B原料'!K27+'P原料'!K27</f>
        <v>504341</v>
      </c>
      <c r="L27" s="106">
        <f>'B原料'!L27+'P原料'!L27</f>
        <v>0</v>
      </c>
      <c r="M27" s="106">
        <f>'B原料'!M27+'P原料'!M27</f>
        <v>0</v>
      </c>
      <c r="N27" s="106">
        <f>'B原料'!N27+'P原料'!N27</f>
        <v>0</v>
      </c>
      <c r="O27" s="106">
        <f>'B原料'!O27+'P原料'!O27</f>
        <v>0</v>
      </c>
      <c r="P27" s="107">
        <f>'B原料'!P27+'P原料'!P27</f>
        <v>0</v>
      </c>
      <c r="Q27" s="108">
        <f>SUM(K27:P27)</f>
        <v>504341</v>
      </c>
      <c r="R27" s="109">
        <f>Q27+J27</f>
        <v>1441226</v>
      </c>
      <c r="S27" s="45"/>
    </row>
    <row r="28" spans="1:19" s="46" customFormat="1" ht="13.5" customHeight="1" thickBot="1">
      <c r="A28" s="154"/>
      <c r="B28" s="20" t="s">
        <v>30</v>
      </c>
      <c r="C28" s="55" t="s">
        <v>6</v>
      </c>
      <c r="D28" s="65">
        <f aca="true" t="shared" si="7" ref="D28:R28">IF(D26=0,"",(D27/D26)*1000)</f>
        <v>48666.93338667734</v>
      </c>
      <c r="E28" s="56">
        <f t="shared" si="7"/>
      </c>
      <c r="F28" s="56">
        <f t="shared" si="7"/>
        <v>46252.267271272336</v>
      </c>
      <c r="G28" s="56">
        <f t="shared" si="7"/>
      </c>
      <c r="H28" s="56">
        <f t="shared" si="7"/>
      </c>
      <c r="I28" s="57">
        <f t="shared" si="7"/>
      </c>
      <c r="J28" s="58">
        <f t="shared" si="7"/>
        <v>46855.96399099775</v>
      </c>
      <c r="K28" s="57">
        <f t="shared" si="7"/>
        <v>58077.038231229846</v>
      </c>
      <c r="L28" s="56">
        <f t="shared" si="7"/>
      </c>
      <c r="M28" s="56">
        <f t="shared" si="7"/>
      </c>
      <c r="N28" s="56">
        <f t="shared" si="7"/>
      </c>
      <c r="O28" s="56">
        <f t="shared" si="7"/>
      </c>
      <c r="P28" s="57">
        <f t="shared" si="7"/>
      </c>
      <c r="Q28" s="58">
        <f t="shared" si="7"/>
        <v>58077.038231229846</v>
      </c>
      <c r="R28" s="59">
        <f t="shared" si="7"/>
        <v>50253.704801422646</v>
      </c>
      <c r="S28" s="45"/>
    </row>
    <row r="29" spans="1:19" s="46" customFormat="1" ht="13.5" customHeight="1">
      <c r="A29" s="155" t="s">
        <v>46</v>
      </c>
      <c r="B29" s="47" t="s">
        <v>26</v>
      </c>
      <c r="C29" s="48" t="s">
        <v>4</v>
      </c>
      <c r="D29" s="105">
        <f>'B原料'!D29+'P原料'!D29</f>
        <v>0</v>
      </c>
      <c r="E29" s="106">
        <f>'B原料'!E29+'P原料'!E29</f>
        <v>0</v>
      </c>
      <c r="F29" s="106">
        <f>'B原料'!F29+'P原料'!F29</f>
        <v>0</v>
      </c>
      <c r="G29" s="106">
        <f>'B原料'!G29+'P原料'!G29</f>
        <v>0</v>
      </c>
      <c r="H29" s="106">
        <f>'B原料'!H29+'P原料'!H29</f>
        <v>0</v>
      </c>
      <c r="I29" s="107">
        <f>'B原料'!I29+'P原料'!I29</f>
        <v>0</v>
      </c>
      <c r="J29" s="52">
        <f>SUM(D29:I29)</f>
        <v>0</v>
      </c>
      <c r="K29" s="105">
        <f>'B原料'!K29+'P原料'!K29</f>
        <v>0</v>
      </c>
      <c r="L29" s="106">
        <f>'B原料'!L29+'P原料'!L29</f>
        <v>0</v>
      </c>
      <c r="M29" s="106">
        <f>'B原料'!M29+'P原料'!M29</f>
        <v>0</v>
      </c>
      <c r="N29" s="106">
        <f>'B原料'!N29+'P原料'!N29</f>
        <v>0</v>
      </c>
      <c r="O29" s="106">
        <f>'B原料'!O29+'P原料'!O29</f>
        <v>0</v>
      </c>
      <c r="P29" s="107">
        <f>'B原料'!P29+'P原料'!P29</f>
        <v>0</v>
      </c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53"/>
      <c r="B30" s="47" t="s">
        <v>28</v>
      </c>
      <c r="C30" s="48" t="s">
        <v>5</v>
      </c>
      <c r="D30" s="105">
        <f>'B原料'!D30+'P原料'!D30</f>
        <v>0</v>
      </c>
      <c r="E30" s="106">
        <f>'B原料'!E30+'P原料'!E30</f>
        <v>0</v>
      </c>
      <c r="F30" s="106">
        <f>'B原料'!F30+'P原料'!F30</f>
        <v>0</v>
      </c>
      <c r="G30" s="106">
        <f>'B原料'!G30+'P原料'!G30</f>
        <v>0</v>
      </c>
      <c r="H30" s="106">
        <f>'B原料'!H30+'P原料'!H30</f>
        <v>0</v>
      </c>
      <c r="I30" s="107">
        <f>'B原料'!I30+'P原料'!I30</f>
        <v>0</v>
      </c>
      <c r="J30" s="52">
        <f>SUM(D30:I30)</f>
        <v>0</v>
      </c>
      <c r="K30" s="105">
        <f>'B原料'!K30+'P原料'!K30</f>
        <v>0</v>
      </c>
      <c r="L30" s="106">
        <f>'B原料'!L30+'P原料'!L30</f>
        <v>0</v>
      </c>
      <c r="M30" s="106">
        <f>'B原料'!M30+'P原料'!M30</f>
        <v>0</v>
      </c>
      <c r="N30" s="106">
        <f>'B原料'!N30+'P原料'!N30</f>
        <v>0</v>
      </c>
      <c r="O30" s="106">
        <f>'B原料'!O30+'P原料'!O30</f>
        <v>0</v>
      </c>
      <c r="P30" s="107">
        <f>'B原料'!P30+'P原料'!P30</f>
        <v>0</v>
      </c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54"/>
      <c r="B31" s="20" t="s">
        <v>30</v>
      </c>
      <c r="C31" s="55" t="s">
        <v>6</v>
      </c>
      <c r="D31" s="65">
        <f aca="true" t="shared" si="8" ref="D31:R31">IF(D29=0,"",(D30/D29)*1000)</f>
      </c>
      <c r="E31" s="56">
        <f t="shared" si="8"/>
      </c>
      <c r="F31" s="56">
        <f t="shared" si="8"/>
      </c>
      <c r="G31" s="56">
        <f t="shared" si="8"/>
      </c>
      <c r="H31" s="56">
        <f t="shared" si="8"/>
      </c>
      <c r="I31" s="57">
        <f t="shared" si="8"/>
      </c>
      <c r="J31" s="58">
        <f t="shared" si="8"/>
      </c>
      <c r="K31" s="57">
        <f t="shared" si="8"/>
      </c>
      <c r="L31" s="56">
        <f t="shared" si="8"/>
      </c>
      <c r="M31" s="56">
        <f t="shared" si="8"/>
      </c>
      <c r="N31" s="56">
        <f t="shared" si="8"/>
      </c>
      <c r="O31" s="56">
        <f t="shared" si="8"/>
      </c>
      <c r="P31" s="57">
        <f t="shared" si="8"/>
      </c>
      <c r="Q31" s="58">
        <f t="shared" si="8"/>
      </c>
      <c r="R31" s="59">
        <f t="shared" si="8"/>
      </c>
      <c r="S31" s="45"/>
    </row>
    <row r="32" spans="1:19" s="46" customFormat="1" ht="13.5" customHeight="1">
      <c r="A32" s="155" t="s">
        <v>48</v>
      </c>
      <c r="B32" s="47" t="s">
        <v>26</v>
      </c>
      <c r="C32" s="48" t="s">
        <v>4</v>
      </c>
      <c r="D32" s="105">
        <f>'B原料'!D32+'P原料'!D32</f>
        <v>0</v>
      </c>
      <c r="E32" s="106">
        <f>'B原料'!E32+'P原料'!E32</f>
        <v>0</v>
      </c>
      <c r="F32" s="106">
        <f>'B原料'!F32+'P原料'!F32</f>
        <v>0</v>
      </c>
      <c r="G32" s="106">
        <f>'B原料'!G32+'P原料'!G32</f>
        <v>0</v>
      </c>
      <c r="H32" s="106">
        <f>'B原料'!H32+'P原料'!H32</f>
        <v>0</v>
      </c>
      <c r="I32" s="107">
        <f>'B原料'!I32+'P原料'!I32</f>
        <v>0</v>
      </c>
      <c r="J32" s="52">
        <f>SUM(D32:I32)</f>
        <v>0</v>
      </c>
      <c r="K32" s="105">
        <f>'B原料'!K32+'P原料'!K32</f>
        <v>0</v>
      </c>
      <c r="L32" s="106">
        <f>'B原料'!L32+'P原料'!L32</f>
        <v>0</v>
      </c>
      <c r="M32" s="106">
        <f>'B原料'!M32+'P原料'!M32</f>
        <v>0</v>
      </c>
      <c r="N32" s="106">
        <f>'B原料'!N32+'P原料'!N32</f>
        <v>0</v>
      </c>
      <c r="O32" s="106">
        <f>'B原料'!O32+'P原料'!O32</f>
        <v>0</v>
      </c>
      <c r="P32" s="107">
        <f>'B原料'!P32+'P原料'!P32</f>
        <v>0</v>
      </c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53"/>
      <c r="B33" s="47" t="s">
        <v>28</v>
      </c>
      <c r="C33" s="48" t="s">
        <v>5</v>
      </c>
      <c r="D33" s="105">
        <f>'B原料'!D33+'P原料'!D33</f>
        <v>0</v>
      </c>
      <c r="E33" s="106">
        <f>'B原料'!E33+'P原料'!E33</f>
        <v>0</v>
      </c>
      <c r="F33" s="106">
        <f>'B原料'!F33+'P原料'!F33</f>
        <v>0</v>
      </c>
      <c r="G33" s="106">
        <f>'B原料'!G33+'P原料'!G33</f>
        <v>0</v>
      </c>
      <c r="H33" s="106">
        <f>'B原料'!H33+'P原料'!H33</f>
        <v>0</v>
      </c>
      <c r="I33" s="107">
        <f>'B原料'!I33+'P原料'!I33</f>
        <v>0</v>
      </c>
      <c r="J33" s="52">
        <f>SUM(D33:I33)</f>
        <v>0</v>
      </c>
      <c r="K33" s="105">
        <f>'B原料'!K33+'P原料'!K33</f>
        <v>0</v>
      </c>
      <c r="L33" s="106">
        <f>'B原料'!L33+'P原料'!L33</f>
        <v>0</v>
      </c>
      <c r="M33" s="106">
        <f>'B原料'!M33+'P原料'!M33</f>
        <v>0</v>
      </c>
      <c r="N33" s="106">
        <f>'B原料'!N33+'P原料'!N33</f>
        <v>0</v>
      </c>
      <c r="O33" s="106">
        <f>'B原料'!O33+'P原料'!O33</f>
        <v>0</v>
      </c>
      <c r="P33" s="107">
        <f>'B原料'!P33+'P原料'!P33</f>
        <v>0</v>
      </c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54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55" t="s">
        <v>50</v>
      </c>
      <c r="B35" s="47" t="s">
        <v>26</v>
      </c>
      <c r="C35" s="48" t="s">
        <v>4</v>
      </c>
      <c r="D35" s="105">
        <f>'B原料'!D35+'P原料'!D35</f>
        <v>0</v>
      </c>
      <c r="E35" s="106">
        <f>'B原料'!E35+'P原料'!E35</f>
        <v>0</v>
      </c>
      <c r="F35" s="106">
        <f>'B原料'!F35+'P原料'!F35</f>
        <v>0</v>
      </c>
      <c r="G35" s="106">
        <f>'B原料'!G35+'P原料'!G35</f>
        <v>0</v>
      </c>
      <c r="H35" s="106">
        <f>'B原料'!H35+'P原料'!H35</f>
        <v>0</v>
      </c>
      <c r="I35" s="107">
        <f>'B原料'!I35+'P原料'!I35</f>
        <v>0</v>
      </c>
      <c r="J35" s="52">
        <f>SUM(D35:I35)</f>
        <v>0</v>
      </c>
      <c r="K35" s="105">
        <f>'B原料'!K35+'P原料'!K35</f>
        <v>0</v>
      </c>
      <c r="L35" s="106">
        <f>'B原料'!L35+'P原料'!L35</f>
        <v>0</v>
      </c>
      <c r="M35" s="106">
        <f>'B原料'!M35+'P原料'!M35</f>
        <v>0</v>
      </c>
      <c r="N35" s="106">
        <f>'B原料'!N35+'P原料'!N35</f>
        <v>0</v>
      </c>
      <c r="O35" s="106">
        <f>'B原料'!O35+'P原料'!O35</f>
        <v>0</v>
      </c>
      <c r="P35" s="107">
        <f>'B原料'!P35+'P原料'!P35</f>
        <v>0</v>
      </c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53"/>
      <c r="B36" s="47" t="s">
        <v>28</v>
      </c>
      <c r="C36" s="48" t="s">
        <v>5</v>
      </c>
      <c r="D36" s="105">
        <f>'B原料'!D36+'P原料'!D36</f>
        <v>0</v>
      </c>
      <c r="E36" s="106">
        <f>'B原料'!E36+'P原料'!E36</f>
        <v>0</v>
      </c>
      <c r="F36" s="106">
        <f>'B原料'!F36+'P原料'!F36</f>
        <v>0</v>
      </c>
      <c r="G36" s="106">
        <f>'B原料'!G36+'P原料'!G36</f>
        <v>0</v>
      </c>
      <c r="H36" s="106">
        <f>'B原料'!H36+'P原料'!H36</f>
        <v>0</v>
      </c>
      <c r="I36" s="107">
        <f>'B原料'!I36+'P原料'!I36</f>
        <v>0</v>
      </c>
      <c r="J36" s="52">
        <f>SUM(D36:I36)</f>
        <v>0</v>
      </c>
      <c r="K36" s="105">
        <f>'B原料'!K36+'P原料'!K36</f>
        <v>0</v>
      </c>
      <c r="L36" s="106">
        <f>'B原料'!L36+'P原料'!L36</f>
        <v>0</v>
      </c>
      <c r="M36" s="106">
        <f>'B原料'!M36+'P原料'!M36</f>
        <v>0</v>
      </c>
      <c r="N36" s="106">
        <f>'B原料'!N36+'P原料'!N36</f>
        <v>0</v>
      </c>
      <c r="O36" s="106">
        <f>'B原料'!O36+'P原料'!O36</f>
        <v>0</v>
      </c>
      <c r="P36" s="107">
        <f>'B原料'!P36+'P原料'!P36</f>
        <v>0</v>
      </c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54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</c>
      <c r="F37" s="56">
        <f t="shared" si="10"/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</c>
      <c r="O37" s="56">
        <f t="shared" si="10"/>
      </c>
      <c r="P37" s="57">
        <f t="shared" si="10"/>
      </c>
      <c r="Q37" s="58">
        <f t="shared" si="10"/>
      </c>
      <c r="R37" s="59">
        <f t="shared" si="10"/>
      </c>
      <c r="S37" s="45"/>
    </row>
    <row r="38" spans="1:19" s="46" customFormat="1" ht="13.5" customHeight="1">
      <c r="A38" s="155" t="s">
        <v>52</v>
      </c>
      <c r="B38" s="47" t="s">
        <v>26</v>
      </c>
      <c r="C38" s="48" t="s">
        <v>4</v>
      </c>
      <c r="D38" s="105">
        <f>'B原料'!D38+'P原料'!D38</f>
        <v>0</v>
      </c>
      <c r="E38" s="106">
        <f>'B原料'!E38+'P原料'!E38</f>
        <v>0</v>
      </c>
      <c r="F38" s="106">
        <f>'B原料'!F38+'P原料'!F38</f>
        <v>0</v>
      </c>
      <c r="G38" s="106">
        <f>'B原料'!G38+'P原料'!G38</f>
        <v>0</v>
      </c>
      <c r="H38" s="106">
        <f>'B原料'!H38+'P原料'!H38</f>
        <v>0</v>
      </c>
      <c r="I38" s="107">
        <f>'B原料'!I38+'P原料'!I38</f>
        <v>0</v>
      </c>
      <c r="J38" s="52">
        <f>SUM(D38:I38)</f>
        <v>0</v>
      </c>
      <c r="K38" s="105">
        <f>'B原料'!K38+'P原料'!K38</f>
        <v>0</v>
      </c>
      <c r="L38" s="106">
        <f>'B原料'!L38+'P原料'!L38</f>
        <v>0</v>
      </c>
      <c r="M38" s="106">
        <f>'B原料'!M38+'P原料'!M38</f>
        <v>0</v>
      </c>
      <c r="N38" s="106">
        <f>'B原料'!N38+'P原料'!N38</f>
        <v>0</v>
      </c>
      <c r="O38" s="106">
        <f>'B原料'!O38+'P原料'!O38</f>
        <v>0</v>
      </c>
      <c r="P38" s="107">
        <f>'B原料'!P38+'P原料'!P38</f>
        <v>0</v>
      </c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53"/>
      <c r="B39" s="47" t="s">
        <v>28</v>
      </c>
      <c r="C39" s="48" t="s">
        <v>5</v>
      </c>
      <c r="D39" s="105">
        <f>'B原料'!D39+'P原料'!D39</f>
        <v>0</v>
      </c>
      <c r="E39" s="106">
        <f>'B原料'!E39+'P原料'!E39</f>
        <v>0</v>
      </c>
      <c r="F39" s="106">
        <f>'B原料'!F39+'P原料'!F39</f>
        <v>0</v>
      </c>
      <c r="G39" s="106">
        <f>'B原料'!G39+'P原料'!G39</f>
        <v>0</v>
      </c>
      <c r="H39" s="106">
        <f>'B原料'!H39+'P原料'!H39</f>
        <v>0</v>
      </c>
      <c r="I39" s="107">
        <f>'B原料'!I39+'P原料'!I39</f>
        <v>0</v>
      </c>
      <c r="J39" s="52">
        <f>SUM(D39:I39)</f>
        <v>0</v>
      </c>
      <c r="K39" s="105">
        <f>'B原料'!K39+'P原料'!K39</f>
        <v>0</v>
      </c>
      <c r="L39" s="106">
        <f>'B原料'!L39+'P原料'!L39</f>
        <v>0</v>
      </c>
      <c r="M39" s="106">
        <f>'B原料'!M39+'P原料'!M39</f>
        <v>0</v>
      </c>
      <c r="N39" s="106">
        <f>'B原料'!N39+'P原料'!N39</f>
        <v>0</v>
      </c>
      <c r="O39" s="106">
        <f>'B原料'!O39+'P原料'!O39</f>
        <v>0</v>
      </c>
      <c r="P39" s="107">
        <f>'B原料'!P39+'P原料'!P39</f>
        <v>0</v>
      </c>
      <c r="Q39" s="52">
        <f>SUM(K39:P39)</f>
        <v>0</v>
      </c>
      <c r="R39" s="53">
        <f>Q39+J39</f>
        <v>0</v>
      </c>
      <c r="S39" s="45"/>
    </row>
    <row r="40" spans="1:19" s="46" customFormat="1" ht="12.75" customHeight="1" thickBot="1">
      <c r="A40" s="154"/>
      <c r="B40" s="20" t="s">
        <v>30</v>
      </c>
      <c r="C40" s="55" t="s">
        <v>6</v>
      </c>
      <c r="D40" s="65">
        <f aca="true" t="shared" si="11" ref="D40:R40">IF(D38=0,"",(D39/D38)*1000)</f>
      </c>
      <c r="E40" s="56">
        <f t="shared" si="11"/>
      </c>
      <c r="F40" s="56">
        <f t="shared" si="11"/>
      </c>
      <c r="G40" s="56">
        <f t="shared" si="11"/>
      </c>
      <c r="H40" s="56">
        <f t="shared" si="11"/>
      </c>
      <c r="I40" s="57">
        <f t="shared" si="11"/>
      </c>
      <c r="J40" s="58">
        <f t="shared" si="11"/>
      </c>
      <c r="K40" s="57">
        <f t="shared" si="11"/>
      </c>
      <c r="L40" s="56">
        <f t="shared" si="11"/>
      </c>
      <c r="M40" s="56">
        <f t="shared" si="11"/>
      </c>
      <c r="N40" s="56">
        <f t="shared" si="11"/>
      </c>
      <c r="O40" s="56">
        <f t="shared" si="11"/>
      </c>
      <c r="P40" s="57">
        <f t="shared" si="11"/>
      </c>
      <c r="Q40" s="58">
        <f t="shared" si="11"/>
      </c>
      <c r="R40" s="59">
        <f t="shared" si="11"/>
      </c>
      <c r="S40" s="45"/>
    </row>
    <row r="41" spans="1:19" s="46" customFormat="1" ht="18" customHeight="1">
      <c r="A41" s="155" t="s">
        <v>7</v>
      </c>
      <c r="B41" s="47" t="s">
        <v>26</v>
      </c>
      <c r="C41" s="48" t="s">
        <v>4</v>
      </c>
      <c r="D41" s="105">
        <f>'B原料'!D41+'P原料'!D41</f>
        <v>4999</v>
      </c>
      <c r="E41" s="106">
        <f>'B原料'!E41+'P原料'!E41</f>
        <v>41895</v>
      </c>
      <c r="F41" s="106">
        <f>'B原料'!F41+'P原料'!F41</f>
        <v>43197</v>
      </c>
      <c r="G41" s="106">
        <f>'B原料'!G41+'P原料'!G41</f>
        <v>1200</v>
      </c>
      <c r="H41" s="106">
        <f>'B原料'!H41+'P原料'!H41</f>
        <v>28015</v>
      </c>
      <c r="I41" s="107">
        <f>'B原料'!I41+'P原料'!I41</f>
        <v>58311</v>
      </c>
      <c r="J41" s="108">
        <f>'B原料'!J41</f>
        <v>177617</v>
      </c>
      <c r="K41" s="105">
        <f>'B原料'!K41+'P原料'!K41</f>
        <v>101051</v>
      </c>
      <c r="L41" s="106">
        <f>'B原料'!L41+'P原料'!L41</f>
        <v>14289</v>
      </c>
      <c r="M41" s="106">
        <f>'B原料'!M41+'P原料'!M41</f>
        <v>7369</v>
      </c>
      <c r="N41" s="106">
        <f>'B原料'!N41+'P原料'!N41</f>
        <v>16240</v>
      </c>
      <c r="O41" s="106">
        <f>'B原料'!O41+'P原料'!O41</f>
        <v>6245</v>
      </c>
      <c r="P41" s="107">
        <f>'B原料'!P41+'P原料'!P41</f>
        <v>15000</v>
      </c>
      <c r="Q41" s="108">
        <f>'B原料'!Q41+'P原料'!Q41</f>
        <v>160194</v>
      </c>
      <c r="R41" s="109">
        <f>J41+Q41</f>
        <v>337811</v>
      </c>
      <c r="S41" s="45"/>
    </row>
    <row r="42" spans="1:19" s="46" customFormat="1" ht="18" customHeight="1">
      <c r="A42" s="153"/>
      <c r="B42" s="47" t="s">
        <v>28</v>
      </c>
      <c r="C42" s="48" t="s">
        <v>5</v>
      </c>
      <c r="D42" s="105">
        <f>'B原料'!D42+'P原料'!D42</f>
        <v>243286</v>
      </c>
      <c r="E42" s="106">
        <f>'B原料'!E42+'P原料'!E42</f>
        <v>1944046</v>
      </c>
      <c r="F42" s="106">
        <f>'B原料'!F42+'P原料'!F42</f>
        <v>2072829</v>
      </c>
      <c r="G42" s="106">
        <f>'B原料'!G42+'P原料'!G42</f>
        <v>57306</v>
      </c>
      <c r="H42" s="106">
        <f>'B原料'!H42+'P原料'!H42</f>
        <v>1372826</v>
      </c>
      <c r="I42" s="107">
        <f>'B原料'!I42+'P原料'!I42</f>
        <v>2968469</v>
      </c>
      <c r="J42" s="108">
        <f>'B原料'!J42</f>
        <v>8658762</v>
      </c>
      <c r="K42" s="105">
        <f>'B原料'!K42+'P原料'!K42</f>
        <v>5839866</v>
      </c>
      <c r="L42" s="106">
        <f>'B原料'!L42+'P原料'!L42</f>
        <v>830632</v>
      </c>
      <c r="M42" s="106">
        <f>'B原料'!M42+'P原料'!M42</f>
        <v>515728</v>
      </c>
      <c r="N42" s="106">
        <f>'B原料'!N42+'P原料'!N42</f>
        <v>1095108</v>
      </c>
      <c r="O42" s="106">
        <f>'B原料'!O42+'P原料'!O42</f>
        <v>498819</v>
      </c>
      <c r="P42" s="107">
        <f>'B原料'!P42+'P原料'!P42</f>
        <v>1103184</v>
      </c>
      <c r="Q42" s="108">
        <f>'B原料'!Q42+'P原料'!Q42</f>
        <v>9883337</v>
      </c>
      <c r="R42" s="109">
        <f>J42+Q42</f>
        <v>18542099</v>
      </c>
      <c r="S42" s="45"/>
    </row>
    <row r="43" spans="1:19" s="46" customFormat="1" ht="18" customHeight="1" thickBot="1">
      <c r="A43" s="161"/>
      <c r="B43" s="20" t="s">
        <v>30</v>
      </c>
      <c r="C43" s="55" t="s">
        <v>6</v>
      </c>
      <c r="D43" s="65">
        <f aca="true" t="shared" si="12" ref="D43:R43">IF(D41=0,"",(D42/D41)*1000)</f>
        <v>48666.93338667734</v>
      </c>
      <c r="E43" s="56">
        <f t="shared" si="12"/>
        <v>46402.81656522258</v>
      </c>
      <c r="F43" s="56">
        <f t="shared" si="12"/>
        <v>47985.48510313216</v>
      </c>
      <c r="G43" s="56">
        <f t="shared" si="12"/>
        <v>47755</v>
      </c>
      <c r="H43" s="56">
        <f t="shared" si="12"/>
        <v>49003.24825986079</v>
      </c>
      <c r="I43" s="57">
        <f t="shared" si="12"/>
        <v>50907.53031160501</v>
      </c>
      <c r="J43" s="58">
        <f t="shared" si="12"/>
        <v>48749.624191378076</v>
      </c>
      <c r="K43" s="57">
        <f t="shared" si="12"/>
        <v>57791.2737132735</v>
      </c>
      <c r="L43" s="56">
        <f t="shared" si="12"/>
        <v>58130.86989992302</v>
      </c>
      <c r="M43" s="56">
        <f t="shared" si="12"/>
        <v>69986.15823042474</v>
      </c>
      <c r="N43" s="56">
        <f t="shared" si="12"/>
        <v>67432.75862068965</v>
      </c>
      <c r="O43" s="56">
        <f t="shared" si="12"/>
        <v>79874.93995196157</v>
      </c>
      <c r="P43" s="57">
        <f t="shared" si="12"/>
        <v>73545.59999999999</v>
      </c>
      <c r="Q43" s="58">
        <f t="shared" si="12"/>
        <v>61696.04978963007</v>
      </c>
      <c r="R43" s="59">
        <f t="shared" si="12"/>
        <v>54888.97342004849</v>
      </c>
      <c r="S43" s="45"/>
    </row>
    <row r="44" spans="1:19" s="46" customFormat="1" ht="24" customHeight="1" thickBot="1">
      <c r="A44" s="162" t="s">
        <v>23</v>
      </c>
      <c r="B44" s="163"/>
      <c r="C44" s="164"/>
      <c r="D44" s="74">
        <f>'P一般'!D44</f>
        <v>107.15</v>
      </c>
      <c r="E44" s="64">
        <f>'P一般'!E44</f>
        <v>106.02</v>
      </c>
      <c r="F44" s="64">
        <f>'P一般'!F44</f>
        <v>107.9</v>
      </c>
      <c r="G44" s="64">
        <f>'P一般'!G44</f>
        <v>110.6</v>
      </c>
      <c r="H44" s="64">
        <f>'P一般'!H44</f>
        <v>111.54</v>
      </c>
      <c r="I44" s="63">
        <f>'P一般'!I44</f>
        <v>110.21</v>
      </c>
      <c r="J44" s="62"/>
      <c r="K44" s="63">
        <f>'P一般'!K44</f>
        <v>113.34</v>
      </c>
      <c r="L44" s="64">
        <f>'P一般'!L44</f>
        <v>116.67</v>
      </c>
      <c r="M44" s="64">
        <f>'P一般'!M44</f>
        <v>119.52</v>
      </c>
      <c r="N44" s="64">
        <f>'P一般'!N44</f>
        <v>116.1</v>
      </c>
      <c r="O44" s="64">
        <f>'P一般'!O44</f>
        <v>116.92</v>
      </c>
      <c r="P44" s="63">
        <f>'P一般'!P44</f>
        <v>117.49</v>
      </c>
      <c r="Q44" s="89">
        <v>116.86264639448166</v>
      </c>
      <c r="R44" s="84">
        <v>113.05614996656949</v>
      </c>
      <c r="S44" s="45"/>
    </row>
    <row r="45" spans="1:18" ht="15.75" customHeight="1">
      <c r="A45" s="113" t="s">
        <v>79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2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日本LPガス協会</cp:lastModifiedBy>
  <cp:lastPrinted>2006-03-30T02:47:37Z</cp:lastPrinted>
  <dcterms:created xsi:type="dcterms:W3CDTF">1998-08-05T13:54:29Z</dcterms:created>
  <dcterms:modified xsi:type="dcterms:W3CDTF">2006-05-30T07:53:49Z</dcterms:modified>
  <cp:category/>
  <cp:version/>
  <cp:contentType/>
  <cp:contentStatus/>
</cp:coreProperties>
</file>