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tabRatio="687" activeTab="0"/>
  </bookViews>
  <sheets>
    <sheet name="P一般" sheetId="1" r:id="rId1"/>
    <sheet name="P原料" sheetId="2" r:id="rId2"/>
    <sheet name="P合計" sheetId="3" r:id="rId3"/>
    <sheet name="B一般" sheetId="4" r:id="rId4"/>
    <sheet name="B原料" sheetId="5" r:id="rId5"/>
    <sheet name="B合計" sheetId="6" r:id="rId6"/>
    <sheet name="液化石油ガス" sheetId="7" r:id="rId7"/>
    <sheet name="一般計" sheetId="8" r:id="rId8"/>
    <sheet name="原料計" sheetId="9" r:id="rId9"/>
    <sheet name="総合計" sheetId="10" r:id="rId10"/>
  </sheets>
  <definedNames>
    <definedName name="_xlnm.Print_Area" localSheetId="3">'B一般'!$A$2:$R$45</definedName>
    <definedName name="_xlnm.Print_Area" localSheetId="4">'B原料'!$A$2:$R$45</definedName>
    <definedName name="_xlnm.Print_Area" localSheetId="5">'B合計'!$A$2:$R$45</definedName>
    <definedName name="_xlnm.Print_Area" localSheetId="0">'P一般'!$A$2:$R$45</definedName>
    <definedName name="_xlnm.Print_Area" localSheetId="1">'P原料'!$A$2:$R$45</definedName>
    <definedName name="_xlnm.Print_Area" localSheetId="2">'P合計'!$A$2:$R$45</definedName>
    <definedName name="_xlnm.Print_Area" localSheetId="7">'一般計'!$A$2:$R$45</definedName>
    <definedName name="_xlnm.Print_Area" localSheetId="6">'液化石油ガス'!$A$2:$R$45</definedName>
    <definedName name="_xlnm.Print_Area" localSheetId="8">'原料計'!$A$2:$R$45</definedName>
    <definedName name="_xlnm.Print_Area" localSheetId="9">'総合計'!$A$2:$R$54</definedName>
  </definedNames>
  <calcPr fullCalcOnLoad="1"/>
</workbook>
</file>

<file path=xl/sharedStrings.xml><?xml version="1.0" encoding="utf-8"?>
<sst xmlns="http://schemas.openxmlformats.org/spreadsheetml/2006/main" count="1133" uniqueCount="79">
  <si>
    <t>一般用</t>
  </si>
  <si>
    <t>上期</t>
  </si>
  <si>
    <t>下期</t>
  </si>
  <si>
    <t>年度</t>
  </si>
  <si>
    <t>ton</t>
  </si>
  <si>
    <t>千円</t>
  </si>
  <si>
    <t>円/t</t>
  </si>
  <si>
    <t>合計</t>
  </si>
  <si>
    <t>原料用</t>
  </si>
  <si>
    <t>2711.13-020</t>
  </si>
  <si>
    <t>2711.13-010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</si>
  <si>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</si>
  <si>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</si>
  <si>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</si>
  <si>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</si>
  <si>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</si>
  <si>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</si>
  <si>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</si>
  <si>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</si>
  <si>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</si>
  <si>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</si>
  <si>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</si>
  <si>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</si>
  <si>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為替レート（円/＄）</t>
  </si>
  <si>
    <t>為替レート（円/＄）</t>
  </si>
  <si>
    <t>プロパン
or
ブタン</t>
  </si>
  <si>
    <t>輸入量</t>
  </si>
  <si>
    <t>輸入量</t>
  </si>
  <si>
    <t>金額</t>
  </si>
  <si>
    <t>金額</t>
  </si>
  <si>
    <t>CIF</t>
  </si>
  <si>
    <t>CIF</t>
  </si>
  <si>
    <t>サウジアラビア</t>
  </si>
  <si>
    <t>クウェート</t>
  </si>
  <si>
    <t>クウェート</t>
  </si>
  <si>
    <t>イラン</t>
  </si>
  <si>
    <t>イラン</t>
  </si>
  <si>
    <t>バーレン</t>
  </si>
  <si>
    <t>バーレン</t>
  </si>
  <si>
    <t>カタール</t>
  </si>
  <si>
    <t>カタール</t>
  </si>
  <si>
    <t>UAE</t>
  </si>
  <si>
    <t>オーストラリア</t>
  </si>
  <si>
    <t>オーストラリア</t>
  </si>
  <si>
    <t>インドネシア</t>
  </si>
  <si>
    <t>インドネシア</t>
  </si>
  <si>
    <t>韓国</t>
  </si>
  <si>
    <t>韓国</t>
  </si>
  <si>
    <t>アルジェリア</t>
  </si>
  <si>
    <t>アルジェリア</t>
  </si>
  <si>
    <t>マレーシア</t>
  </si>
  <si>
    <t>マレーシア</t>
  </si>
  <si>
    <t>その他</t>
  </si>
  <si>
    <t>その他</t>
  </si>
  <si>
    <t>プロパン</t>
  </si>
  <si>
    <t>ブタン</t>
  </si>
  <si>
    <t>サウジアラビア</t>
  </si>
  <si>
    <t>総合計</t>
  </si>
  <si>
    <t>UAE</t>
  </si>
  <si>
    <r>
      <t>4</t>
    </r>
    <r>
      <rPr>
        <sz val="13"/>
        <rFont val="ＭＳ Ｐゴシック"/>
        <family val="3"/>
      </rPr>
      <t>月</t>
    </r>
  </si>
  <si>
    <r>
      <t>5</t>
    </r>
    <r>
      <rPr>
        <sz val="13"/>
        <rFont val="ＭＳ Ｐゴシック"/>
        <family val="3"/>
      </rPr>
      <t>月</t>
    </r>
  </si>
  <si>
    <r>
      <t>6</t>
    </r>
    <r>
      <rPr>
        <sz val="13"/>
        <rFont val="ＭＳ Ｐゴシック"/>
        <family val="3"/>
      </rPr>
      <t>月</t>
    </r>
  </si>
  <si>
    <r>
      <t>7</t>
    </r>
    <r>
      <rPr>
        <sz val="13"/>
        <rFont val="ＭＳ Ｐゴシック"/>
        <family val="3"/>
      </rPr>
      <t>月</t>
    </r>
  </si>
  <si>
    <r>
      <t>8</t>
    </r>
    <r>
      <rPr>
        <sz val="13"/>
        <rFont val="ＭＳ Ｐゴシック"/>
        <family val="3"/>
      </rPr>
      <t>月</t>
    </r>
  </si>
  <si>
    <r>
      <t>9</t>
    </r>
    <r>
      <rPr>
        <sz val="13"/>
        <rFont val="ＭＳ Ｐゴシック"/>
        <family val="3"/>
      </rPr>
      <t>月</t>
    </r>
  </si>
  <si>
    <r>
      <t>10</t>
    </r>
    <r>
      <rPr>
        <sz val="13"/>
        <rFont val="ＭＳ Ｐゴシック"/>
        <family val="3"/>
      </rPr>
      <t>月</t>
    </r>
  </si>
  <si>
    <r>
      <t>11</t>
    </r>
    <r>
      <rPr>
        <sz val="13"/>
        <rFont val="ＭＳ Ｐゴシック"/>
        <family val="3"/>
      </rPr>
      <t>月</t>
    </r>
  </si>
  <si>
    <r>
      <t>12</t>
    </r>
    <r>
      <rPr>
        <sz val="13"/>
        <rFont val="ＭＳ Ｐゴシック"/>
        <family val="3"/>
      </rPr>
      <t>月</t>
    </r>
  </si>
  <si>
    <r>
      <t>1</t>
    </r>
    <r>
      <rPr>
        <sz val="13"/>
        <rFont val="ＭＳ Ｐゴシック"/>
        <family val="3"/>
      </rPr>
      <t>月</t>
    </r>
  </si>
  <si>
    <r>
      <t>2</t>
    </r>
    <r>
      <rPr>
        <sz val="13"/>
        <rFont val="ＭＳ Ｐゴシック"/>
        <family val="3"/>
      </rPr>
      <t>月</t>
    </r>
  </si>
  <si>
    <r>
      <t>3</t>
    </r>
    <r>
      <rPr>
        <sz val="13"/>
        <rFont val="ＭＳ Ｐゴシック"/>
        <family val="3"/>
      </rPr>
      <t>月</t>
    </r>
  </si>
  <si>
    <t>一般用</t>
  </si>
  <si>
    <t>プロパン</t>
  </si>
  <si>
    <t>液化石油ガス(ﾌﾟﾛﾊﾟﾝorﾌﾞﾀﾝ）　2711.19-010</t>
  </si>
  <si>
    <t>（電力除く）</t>
  </si>
  <si>
    <t>(電力除く）</t>
  </si>
  <si>
    <t>原料用</t>
  </si>
  <si>
    <t>2711.12-010</t>
  </si>
  <si>
    <r>
      <t>2004</t>
    </r>
    <r>
      <rPr>
        <sz val="20"/>
        <rFont val="ＭＳ ゴシック"/>
        <family val="3"/>
      </rPr>
      <t>年度</t>
    </r>
    <r>
      <rPr>
        <sz val="20"/>
        <rFont val="Arial"/>
        <family val="2"/>
      </rPr>
      <t>LPG CIF</t>
    </r>
    <r>
      <rPr>
        <sz val="20"/>
        <rFont val="ＭＳ ゴシック"/>
        <family val="3"/>
      </rPr>
      <t>価格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</si>
</sst>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 "/>
  </numFmts>
  <fonts count="20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4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3"/>
      <name val="ＭＳ Ｐゴシック"/>
      <family val="3"/>
    </font>
    <font>
      <sz val="9"/>
      <name val="Arial"/>
      <family val="2"/>
    </font>
    <font>
      <sz val="13"/>
      <name val="Arial"/>
      <family val="2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20"/>
      <name val="ＭＳ ゴシック"/>
      <family val="3"/>
    </font>
    <font>
      <sz val="20"/>
      <name val="Arial"/>
      <family val="2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38" fontId="3" fillId="0" borderId="2" xfId="17" applyFont="1" applyBorder="1" applyAlignment="1" applyProtection="1">
      <alignment/>
      <protection/>
    </xf>
    <xf numFmtId="38" fontId="3" fillId="0" borderId="3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38" fontId="0" fillId="0" borderId="2" xfId="17" applyBorder="1" applyAlignment="1" applyProtection="1">
      <alignment horizontal="center"/>
      <protection/>
    </xf>
    <xf numFmtId="38" fontId="0" fillId="0" borderId="3" xfId="17" applyBorder="1" applyAlignment="1" applyProtection="1">
      <alignment horizontal="center"/>
      <protection/>
    </xf>
    <xf numFmtId="38" fontId="7" fillId="0" borderId="2" xfId="17" applyFont="1" applyBorder="1" applyAlignment="1" applyProtection="1">
      <alignment horizontal="center" vertical="distributed"/>
      <protection/>
    </xf>
    <xf numFmtId="38" fontId="7" fillId="0" borderId="3" xfId="17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38" fontId="7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38" fontId="3" fillId="0" borderId="5" xfId="17" applyFont="1" applyBorder="1" applyAlignment="1" applyProtection="1">
      <alignment/>
      <protection/>
    </xf>
    <xf numFmtId="38" fontId="3" fillId="0" borderId="6" xfId="17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center" vertical="center"/>
      <protection/>
    </xf>
    <xf numFmtId="38" fontId="3" fillId="0" borderId="8" xfId="17" applyFont="1" applyBorder="1" applyAlignment="1" applyProtection="1">
      <alignment/>
      <protection/>
    </xf>
    <xf numFmtId="38" fontId="3" fillId="0" borderId="9" xfId="17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/>
      <protection/>
    </xf>
    <xf numFmtId="38" fontId="3" fillId="0" borderId="1" xfId="17" applyFont="1" applyBorder="1" applyAlignment="1" applyProtection="1">
      <alignment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38" fontId="3" fillId="0" borderId="11" xfId="17" applyFont="1" applyBorder="1" applyAlignment="1" applyProtection="1">
      <alignment/>
      <protection/>
    </xf>
    <xf numFmtId="38" fontId="3" fillId="0" borderId="12" xfId="17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7" fillId="0" borderId="0" xfId="0" applyNumberFormat="1" applyFont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38" fontId="3" fillId="0" borderId="2" xfId="17" applyFont="1" applyBorder="1" applyAlignment="1" applyProtection="1">
      <alignment vertical="center"/>
      <protection/>
    </xf>
    <xf numFmtId="38" fontId="3" fillId="0" borderId="11" xfId="17" applyFont="1" applyBorder="1" applyAlignment="1" applyProtection="1">
      <alignment vertical="center"/>
      <protection/>
    </xf>
    <xf numFmtId="38" fontId="3" fillId="0" borderId="0" xfId="17" applyFont="1" applyBorder="1" applyAlignment="1" applyProtection="1">
      <alignment vertical="center"/>
      <protection/>
    </xf>
    <xf numFmtId="38" fontId="3" fillId="0" borderId="8" xfId="17" applyFont="1" applyBorder="1" applyAlignment="1" applyProtection="1">
      <alignment vertical="center"/>
      <protection/>
    </xf>
    <xf numFmtId="38" fontId="3" fillId="0" borderId="5" xfId="17" applyFont="1" applyBorder="1" applyAlignment="1" applyProtection="1">
      <alignment vertical="center"/>
      <protection/>
    </xf>
    <xf numFmtId="1" fontId="2" fillId="0" borderId="2" xfId="0" applyNumberFormat="1" applyFont="1" applyBorder="1" applyAlignment="1" applyProtection="1">
      <alignment vertical="center"/>
      <protection locked="0"/>
    </xf>
    <xf numFmtId="38" fontId="0" fillId="0" borderId="3" xfId="0" applyNumberFormat="1" applyBorder="1" applyAlignment="1">
      <alignment horizontal="center" vertical="center"/>
    </xf>
    <xf numFmtId="38" fontId="3" fillId="0" borderId="12" xfId="17" applyFont="1" applyBorder="1" applyAlignment="1" applyProtection="1">
      <alignment vertical="center"/>
      <protection/>
    </xf>
    <xf numFmtId="38" fontId="3" fillId="0" borderId="1" xfId="17" applyFont="1" applyBorder="1" applyAlignment="1" applyProtection="1">
      <alignment vertical="center"/>
      <protection/>
    </xf>
    <xf numFmtId="38" fontId="3" fillId="0" borderId="9" xfId="17" applyFont="1" applyBorder="1" applyAlignment="1" applyProtection="1">
      <alignment vertical="center"/>
      <protection/>
    </xf>
    <xf numFmtId="38" fontId="3" fillId="0" borderId="6" xfId="17" applyFon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2" fontId="16" fillId="0" borderId="9" xfId="0" applyNumberFormat="1" applyFont="1" applyBorder="1" applyAlignment="1" applyProtection="1">
      <alignment vertical="center"/>
      <protection/>
    </xf>
    <xf numFmtId="2" fontId="16" fillId="0" borderId="1" xfId="0" applyNumberFormat="1" applyFont="1" applyBorder="1" applyAlignment="1" applyProtection="1">
      <alignment vertical="center"/>
      <protection/>
    </xf>
    <xf numFmtId="2" fontId="16" fillId="0" borderId="12" xfId="0" applyNumberFormat="1" applyFont="1" applyBorder="1" applyAlignment="1" applyProtection="1">
      <alignment vertical="center"/>
      <protection/>
    </xf>
    <xf numFmtId="38" fontId="3" fillId="0" borderId="3" xfId="17" applyFont="1" applyBorder="1" applyAlignment="1" applyProtection="1">
      <alignment vertical="center"/>
      <protection/>
    </xf>
    <xf numFmtId="38" fontId="4" fillId="0" borderId="2" xfId="17" applyFont="1" applyBorder="1" applyAlignment="1" applyProtection="1">
      <alignment vertical="center"/>
      <protection locked="0"/>
    </xf>
    <xf numFmtId="38" fontId="4" fillId="0" borderId="11" xfId="17" applyFon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vertical="center"/>
      <protection locked="0"/>
    </xf>
    <xf numFmtId="40" fontId="16" fillId="0" borderId="3" xfId="17" applyNumberFormat="1" applyFont="1" applyBorder="1" applyAlignment="1" applyProtection="1">
      <alignment vertical="center"/>
      <protection/>
    </xf>
    <xf numFmtId="40" fontId="16" fillId="0" borderId="12" xfId="17" applyNumberFormat="1" applyFont="1" applyBorder="1" applyAlignment="1" applyProtection="1">
      <alignment vertical="center"/>
      <protection/>
    </xf>
    <xf numFmtId="40" fontId="16" fillId="0" borderId="1" xfId="17" applyNumberFormat="1" applyFont="1" applyBorder="1" applyAlignment="1" applyProtection="1">
      <alignment vertical="center"/>
      <protection/>
    </xf>
    <xf numFmtId="40" fontId="16" fillId="0" borderId="9" xfId="17" applyNumberFormat="1" applyFont="1" applyBorder="1" applyAlignment="1" applyProtection="1">
      <alignment vertical="center"/>
      <protection/>
    </xf>
    <xf numFmtId="40" fontId="16" fillId="0" borderId="6" xfId="17" applyNumberFormat="1" applyFont="1" applyBorder="1" applyAlignment="1" applyProtection="1">
      <alignment vertical="center"/>
      <protection/>
    </xf>
    <xf numFmtId="2" fontId="16" fillId="0" borderId="3" xfId="0" applyNumberFormat="1" applyFont="1" applyBorder="1" applyAlignment="1" applyProtection="1">
      <alignment vertical="center"/>
      <protection/>
    </xf>
    <xf numFmtId="38" fontId="3" fillId="0" borderId="13" xfId="17" applyFont="1" applyBorder="1" applyAlignment="1" applyProtection="1">
      <alignment vertical="center"/>
      <protection/>
    </xf>
    <xf numFmtId="1" fontId="0" fillId="0" borderId="2" xfId="0" applyNumberFormat="1" applyBorder="1" applyAlignment="1" applyProtection="1">
      <alignment vertical="center"/>
      <protection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7" fontId="2" fillId="0" borderId="2" xfId="0" applyNumberFormat="1" applyFont="1" applyBorder="1" applyAlignment="1" applyProtection="1">
      <alignment vertical="center"/>
      <protection locked="0"/>
    </xf>
    <xf numFmtId="38" fontId="4" fillId="0" borderId="3" xfId="17" applyFont="1" applyBorder="1" applyAlignment="1" applyProtection="1">
      <alignment vertical="center"/>
      <protection locked="0"/>
    </xf>
    <xf numFmtId="38" fontId="4" fillId="0" borderId="12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2" fontId="16" fillId="0" borderId="6" xfId="0" applyNumberFormat="1" applyFont="1" applyBorder="1" applyAlignment="1" applyProtection="1">
      <alignment vertical="center"/>
      <protection locked="0"/>
    </xf>
    <xf numFmtId="2" fontId="16" fillId="0" borderId="3" xfId="0" applyNumberFormat="1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2" fontId="16" fillId="0" borderId="12" xfId="0" applyNumberFormat="1" applyFont="1" applyBorder="1" applyAlignment="1" applyProtection="1">
      <alignment vertical="center"/>
      <protection locked="0"/>
    </xf>
    <xf numFmtId="2" fontId="16" fillId="0" borderId="1" xfId="0" applyNumberFormat="1" applyFont="1" applyBorder="1" applyAlignment="1" applyProtection="1">
      <alignment vertical="center"/>
      <protection locked="0"/>
    </xf>
    <xf numFmtId="2" fontId="16" fillId="0" borderId="9" xfId="0" applyNumberFormat="1" applyFont="1" applyBorder="1" applyAlignment="1" applyProtection="1">
      <alignment vertical="center"/>
      <protection locked="0"/>
    </xf>
    <xf numFmtId="39" fontId="16" fillId="0" borderId="12" xfId="0" applyNumberFormat="1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/>
      <protection/>
    </xf>
    <xf numFmtId="38" fontId="4" fillId="0" borderId="11" xfId="17" applyFont="1" applyBorder="1" applyAlignment="1" applyProtection="1">
      <alignment/>
      <protection/>
    </xf>
    <xf numFmtId="38" fontId="4" fillId="0" borderId="0" xfId="17" applyFont="1" applyBorder="1" applyAlignment="1" applyProtection="1">
      <alignment/>
      <protection/>
    </xf>
    <xf numFmtId="38" fontId="4" fillId="0" borderId="8" xfId="17" applyFont="1" applyBorder="1" applyAlignment="1" applyProtection="1">
      <alignment/>
      <protection/>
    </xf>
    <xf numFmtId="38" fontId="4" fillId="0" borderId="5" xfId="17" applyFont="1" applyBorder="1" applyAlignment="1" applyProtection="1">
      <alignment/>
      <protection/>
    </xf>
    <xf numFmtId="38" fontId="4" fillId="0" borderId="17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4" fillId="0" borderId="18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/>
    </xf>
    <xf numFmtId="38" fontId="4" fillId="0" borderId="20" xfId="17" applyFont="1" applyBorder="1" applyAlignment="1" applyProtection="1">
      <alignment/>
      <protection/>
    </xf>
    <xf numFmtId="38" fontId="4" fillId="0" borderId="2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2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>
      <alignment vertical="center"/>
      <protection/>
    </xf>
    <xf numFmtId="38" fontId="4" fillId="0" borderId="0" xfId="17" applyFont="1" applyBorder="1" applyAlignment="1" applyProtection="1">
      <alignment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5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 quotePrefix="1">
      <alignment horizontal="right" vertical="center"/>
      <protection/>
    </xf>
    <xf numFmtId="38" fontId="4" fillId="0" borderId="11" xfId="17" applyFont="1" applyBorder="1" applyAlignment="1" applyProtection="1" quotePrefix="1">
      <alignment horizontal="right" vertical="center"/>
      <protection locked="0"/>
    </xf>
    <xf numFmtId="4" fontId="16" fillId="0" borderId="12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3" fillId="0" borderId="11" xfId="17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 locked="0"/>
    </xf>
    <xf numFmtId="38" fontId="3" fillId="0" borderId="11" xfId="17" applyFont="1" applyBorder="1" applyAlignment="1" applyProtection="1">
      <alignment horizontal="center" vertical="center"/>
      <protection locked="0"/>
    </xf>
    <xf numFmtId="38" fontId="3" fillId="0" borderId="0" xfId="17" applyFont="1" applyBorder="1" applyAlignment="1" applyProtection="1">
      <alignment horizontal="center" vertical="center"/>
      <protection locked="0"/>
    </xf>
    <xf numFmtId="38" fontId="3" fillId="0" borderId="8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/>
    </xf>
    <xf numFmtId="38" fontId="3" fillId="0" borderId="3" xfId="17" applyFont="1" applyBorder="1" applyAlignment="1" applyProtection="1">
      <alignment horizontal="right" vertical="center"/>
      <protection/>
    </xf>
    <xf numFmtId="38" fontId="3" fillId="0" borderId="12" xfId="17" applyFont="1" applyBorder="1" applyAlignment="1" applyProtection="1">
      <alignment horizontal="right" vertical="center"/>
      <protection/>
    </xf>
    <xf numFmtId="38" fontId="3" fillId="0" borderId="1" xfId="17" applyFont="1" applyBorder="1" applyAlignment="1" applyProtection="1">
      <alignment horizontal="right" vertical="center"/>
      <protection/>
    </xf>
    <xf numFmtId="38" fontId="3" fillId="0" borderId="9" xfId="17" applyFont="1" applyBorder="1" applyAlignment="1" applyProtection="1">
      <alignment horizontal="right" vertical="center"/>
      <protection/>
    </xf>
    <xf numFmtId="4" fontId="16" fillId="0" borderId="12" xfId="0" applyNumberFormat="1" applyFont="1" applyBorder="1" applyAlignment="1" applyProtection="1">
      <alignment vertical="center"/>
      <protection locked="0"/>
    </xf>
    <xf numFmtId="38" fontId="4" fillId="0" borderId="18" xfId="17" applyFont="1" applyBorder="1" applyAlignment="1" applyProtection="1">
      <alignment vertical="center"/>
      <protection/>
    </xf>
    <xf numFmtId="38" fontId="19" fillId="0" borderId="11" xfId="17" applyFont="1" applyBorder="1" applyAlignment="1" applyProtection="1">
      <alignment vertical="center"/>
      <protection locked="0"/>
    </xf>
    <xf numFmtId="38" fontId="19" fillId="0" borderId="12" xfId="17" applyFont="1" applyBorder="1" applyAlignment="1" applyProtection="1">
      <alignment vertical="center"/>
      <protection/>
    </xf>
    <xf numFmtId="38" fontId="19" fillId="0" borderId="8" xfId="17" applyFont="1" applyBorder="1" applyAlignment="1" applyProtection="1">
      <alignment vertical="center"/>
      <protection/>
    </xf>
    <xf numFmtId="38" fontId="19" fillId="0" borderId="9" xfId="17" applyFont="1" applyBorder="1" applyAlignment="1" applyProtection="1">
      <alignment vertical="center"/>
      <protection/>
    </xf>
    <xf numFmtId="38" fontId="19" fillId="0" borderId="11" xfId="17" applyFont="1" applyBorder="1" applyAlignment="1" applyProtection="1">
      <alignment vertical="center"/>
      <protection/>
    </xf>
    <xf numFmtId="38" fontId="19" fillId="0" borderId="5" xfId="17" applyFont="1" applyBorder="1" applyAlignment="1" applyProtection="1">
      <alignment vertical="center"/>
      <protection/>
    </xf>
    <xf numFmtId="38" fontId="19" fillId="0" borderId="6" xfId="17" applyFont="1" applyBorder="1" applyAlignment="1" applyProtection="1">
      <alignment vertical="center"/>
      <protection/>
    </xf>
    <xf numFmtId="38" fontId="19" fillId="0" borderId="11" xfId="17" applyFont="1" applyBorder="1" applyAlignment="1" applyProtection="1">
      <alignment/>
      <protection/>
    </xf>
    <xf numFmtId="38" fontId="19" fillId="0" borderId="12" xfId="17" applyFont="1" applyBorder="1" applyAlignment="1" applyProtection="1">
      <alignment/>
      <protection/>
    </xf>
    <xf numFmtId="38" fontId="19" fillId="0" borderId="8" xfId="17" applyFont="1" applyBorder="1" applyAlignment="1" applyProtection="1">
      <alignment/>
      <protection/>
    </xf>
    <xf numFmtId="38" fontId="19" fillId="0" borderId="9" xfId="17" applyFont="1" applyBorder="1" applyAlignment="1" applyProtection="1">
      <alignment/>
      <protection/>
    </xf>
    <xf numFmtId="38" fontId="19" fillId="0" borderId="5" xfId="17" applyFont="1" applyBorder="1" applyAlignment="1" applyProtection="1">
      <alignment/>
      <protection/>
    </xf>
    <xf numFmtId="38" fontId="19" fillId="0" borderId="6" xfId="17" applyFont="1" applyBorder="1" applyAlignment="1" applyProtection="1">
      <alignment/>
      <protection/>
    </xf>
    <xf numFmtId="38" fontId="6" fillId="0" borderId="21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22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top"/>
      <protection/>
    </xf>
    <xf numFmtId="0" fontId="17" fillId="0" borderId="0" xfId="0" applyFont="1" applyAlignment="1" applyProtection="1">
      <alignment horizontal="center" vertical="top"/>
      <protection/>
    </xf>
    <xf numFmtId="38" fontId="12" fillId="0" borderId="21" xfId="0" applyNumberFormat="1" applyFont="1" applyBorder="1" applyAlignment="1">
      <alignment horizontal="center" vertical="center"/>
    </xf>
    <xf numFmtId="38" fontId="12" fillId="0" borderId="15" xfId="0" applyNumberFormat="1" applyFont="1" applyBorder="1" applyAlignment="1">
      <alignment horizontal="center" vertical="center"/>
    </xf>
    <xf numFmtId="38" fontId="12" fillId="0" borderId="22" xfId="0" applyNumberFormat="1" applyFon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6" fillId="0" borderId="14" xfId="0" applyNumberFormat="1" applyFont="1" applyBorder="1" applyAlignment="1">
      <alignment horizontal="center" vertical="center"/>
    </xf>
    <xf numFmtId="58" fontId="14" fillId="0" borderId="1" xfId="0" applyNumberFormat="1" applyFont="1" applyBorder="1" applyAlignment="1" applyProtection="1">
      <alignment horizontal="center" vertical="top"/>
      <protection/>
    </xf>
    <xf numFmtId="0" fontId="14" fillId="0" borderId="1" xfId="0" applyFont="1" applyBorder="1" applyAlignment="1" applyProtection="1">
      <alignment horizontal="center" vertical="top"/>
      <protection/>
    </xf>
    <xf numFmtId="38" fontId="6" fillId="0" borderId="14" xfId="17" applyFont="1" applyBorder="1" applyAlignment="1" applyProtection="1">
      <alignment horizontal="center" vertical="center"/>
      <protection/>
    </xf>
    <xf numFmtId="38" fontId="6" fillId="0" borderId="15" xfId="17" applyFont="1" applyBorder="1" applyAlignment="1" applyProtection="1">
      <alignment horizontal="center" vertical="center"/>
      <protection/>
    </xf>
    <xf numFmtId="38" fontId="6" fillId="0" borderId="16" xfId="17" applyFont="1" applyBorder="1" applyAlignment="1" applyProtection="1">
      <alignment horizontal="center" vertical="center"/>
      <protection/>
    </xf>
    <xf numFmtId="38" fontId="7" fillId="0" borderId="14" xfId="17" applyFont="1" applyBorder="1" applyAlignment="1" applyProtection="1">
      <alignment horizontal="center" vertical="center" wrapText="1"/>
      <protection/>
    </xf>
    <xf numFmtId="38" fontId="7" fillId="0" borderId="15" xfId="17" applyFont="1" applyBorder="1" applyAlignment="1" applyProtection="1">
      <alignment horizontal="center" vertical="center"/>
      <protection/>
    </xf>
    <xf numFmtId="38" fontId="7" fillId="0" borderId="16" xfId="17" applyFont="1" applyBorder="1" applyAlignment="1" applyProtection="1">
      <alignment horizontal="center" vertical="center"/>
      <protection/>
    </xf>
    <xf numFmtId="38" fontId="7" fillId="0" borderId="23" xfId="17" applyFont="1" applyBorder="1" applyAlignment="1" applyProtection="1">
      <alignment horizontal="center" vertical="center"/>
      <protection/>
    </xf>
    <xf numFmtId="38" fontId="7" fillId="0" borderId="24" xfId="17" applyFont="1" applyBorder="1" applyAlignment="1" applyProtection="1">
      <alignment horizontal="center" vertical="center"/>
      <protection/>
    </xf>
    <xf numFmtId="38" fontId="7" fillId="0" borderId="4" xfId="17" applyFont="1" applyBorder="1" applyAlignment="1" applyProtection="1">
      <alignment horizontal="center" vertical="center"/>
      <protection/>
    </xf>
    <xf numFmtId="38" fontId="7" fillId="0" borderId="14" xfId="17" applyFont="1" applyBorder="1" applyAlignment="1" applyProtection="1">
      <alignment horizontal="center" vertical="center"/>
      <protection/>
    </xf>
    <xf numFmtId="38" fontId="12" fillId="0" borderId="14" xfId="17" applyFont="1" applyBorder="1" applyAlignment="1" applyProtection="1">
      <alignment horizontal="center" vertical="center"/>
      <protection/>
    </xf>
    <xf numFmtId="38" fontId="12" fillId="0" borderId="15" xfId="17" applyFont="1" applyBorder="1" applyAlignment="1" applyProtection="1">
      <alignment horizontal="center" vertical="center"/>
      <protection/>
    </xf>
    <xf numFmtId="38" fontId="12" fillId="0" borderId="16" xfId="17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tabSelected="1" zoomScale="70" zoomScaleNormal="70" workbookViewId="0" topLeftCell="A2">
      <pane xSplit="3" ySplit="3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2.42187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75</v>
      </c>
      <c r="C2" s="1"/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8" customHeight="1" thickBot="1">
      <c r="A3" s="21" t="s">
        <v>0</v>
      </c>
      <c r="B3" s="42" t="s">
        <v>77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54">
        <v>38790</v>
      </c>
      <c r="R3" s="155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6" t="s">
        <v>32</v>
      </c>
      <c r="B5" s="47" t="s">
        <v>26</v>
      </c>
      <c r="C5" s="48" t="s">
        <v>4</v>
      </c>
      <c r="D5" s="66">
        <v>340412</v>
      </c>
      <c r="E5" s="67">
        <v>464108</v>
      </c>
      <c r="F5" s="67">
        <v>361596</v>
      </c>
      <c r="G5" s="67">
        <v>195018</v>
      </c>
      <c r="H5" s="67">
        <v>338684</v>
      </c>
      <c r="I5" s="68">
        <v>256256</v>
      </c>
      <c r="J5" s="108">
        <f>SUM(D5:I5)</f>
        <v>1956074</v>
      </c>
      <c r="K5" s="68">
        <v>420021</v>
      </c>
      <c r="L5" s="67">
        <v>289533</v>
      </c>
      <c r="M5" s="67">
        <v>357495</v>
      </c>
      <c r="N5" s="67">
        <v>406722</v>
      </c>
      <c r="O5" s="67">
        <v>411335</v>
      </c>
      <c r="P5" s="68">
        <v>452150</v>
      </c>
      <c r="Q5" s="108">
        <f>SUM(K5:P5)</f>
        <v>2337256</v>
      </c>
      <c r="R5" s="109">
        <f>J5+Q5</f>
        <v>4293330</v>
      </c>
      <c r="S5" s="45"/>
    </row>
    <row r="6" spans="1:19" s="46" customFormat="1" ht="13.5" customHeight="1">
      <c r="A6" s="143"/>
      <c r="B6" s="47" t="s">
        <v>28</v>
      </c>
      <c r="C6" s="48" t="s">
        <v>5</v>
      </c>
      <c r="D6" s="66">
        <v>11324510</v>
      </c>
      <c r="E6" s="67">
        <v>17337192</v>
      </c>
      <c r="F6" s="67">
        <v>14379678</v>
      </c>
      <c r="G6" s="67">
        <v>7564669</v>
      </c>
      <c r="H6" s="67">
        <v>13150352</v>
      </c>
      <c r="I6" s="68">
        <v>10792410</v>
      </c>
      <c r="J6" s="108">
        <f>SUM(D6:I6)</f>
        <v>74548811</v>
      </c>
      <c r="K6" s="107">
        <v>19346792</v>
      </c>
      <c r="L6" s="106">
        <v>14529923</v>
      </c>
      <c r="M6" s="106">
        <v>17123865</v>
      </c>
      <c r="N6" s="106">
        <v>18742451</v>
      </c>
      <c r="O6" s="106">
        <v>17061739</v>
      </c>
      <c r="P6" s="107">
        <v>19609449</v>
      </c>
      <c r="Q6" s="108">
        <f>SUM(K6:P6)</f>
        <v>106414219</v>
      </c>
      <c r="R6" s="109">
        <f>J6+Q6</f>
        <v>180963030</v>
      </c>
      <c r="S6" s="45"/>
    </row>
    <row r="7" spans="1:19" s="46" customFormat="1" ht="13.5" customHeight="1" thickBot="1">
      <c r="A7" s="144"/>
      <c r="B7" s="20" t="s">
        <v>30</v>
      </c>
      <c r="C7" s="55" t="s">
        <v>6</v>
      </c>
      <c r="D7" s="65">
        <f aca="true" t="shared" si="0" ref="D7:I7">IF(D5=0,,D6/D5*1000)</f>
        <v>33267.070491052014</v>
      </c>
      <c r="E7" s="56">
        <f t="shared" si="0"/>
        <v>37355.94301326415</v>
      </c>
      <c r="F7" s="56">
        <f t="shared" si="0"/>
        <v>39767.248531510304</v>
      </c>
      <c r="G7" s="56">
        <f t="shared" si="0"/>
        <v>38789.59378108687</v>
      </c>
      <c r="H7" s="56">
        <f t="shared" si="0"/>
        <v>38827.79227834796</v>
      </c>
      <c r="I7" s="57">
        <f t="shared" si="0"/>
        <v>42115.73582667333</v>
      </c>
      <c r="J7" s="58">
        <f>(J6/J5)*1000</f>
        <v>38111.44721518715</v>
      </c>
      <c r="K7" s="57">
        <f aca="true" t="shared" si="1" ref="K7:Q7">IF(K5=0,,K6/K5*1000)</f>
        <v>46061.487401820385</v>
      </c>
      <c r="L7" s="56">
        <f t="shared" si="1"/>
        <v>50183.99629748595</v>
      </c>
      <c r="M7" s="56">
        <f t="shared" si="1"/>
        <v>47899.59300130072</v>
      </c>
      <c r="N7" s="56">
        <f t="shared" si="1"/>
        <v>46081.72412606154</v>
      </c>
      <c r="O7" s="56">
        <f t="shared" si="1"/>
        <v>41478.938091822965</v>
      </c>
      <c r="P7" s="57">
        <f t="shared" si="1"/>
        <v>43369.344244166765</v>
      </c>
      <c r="Q7" s="58">
        <f t="shared" si="1"/>
        <v>45529.55217571375</v>
      </c>
      <c r="R7" s="59">
        <f>(R6/R5)*1000</f>
        <v>42149.80679332825</v>
      </c>
      <c r="S7" s="60"/>
    </row>
    <row r="8" spans="1:19" s="46" customFormat="1" ht="13.5" customHeight="1">
      <c r="A8" s="142" t="s">
        <v>33</v>
      </c>
      <c r="B8" s="47" t="s">
        <v>26</v>
      </c>
      <c r="C8" s="48" t="s">
        <v>4</v>
      </c>
      <c r="D8" s="105">
        <v>153289</v>
      </c>
      <c r="E8" s="67">
        <v>87112</v>
      </c>
      <c r="F8" s="67">
        <v>124846</v>
      </c>
      <c r="G8" s="67">
        <v>63517</v>
      </c>
      <c r="H8" s="67">
        <v>101844</v>
      </c>
      <c r="I8" s="68">
        <v>112922</v>
      </c>
      <c r="J8" s="108">
        <f>SUM(D8:I8)</f>
        <v>643530</v>
      </c>
      <c r="K8" s="68">
        <v>64208</v>
      </c>
      <c r="L8" s="67">
        <v>93704</v>
      </c>
      <c r="M8" s="67">
        <v>79870</v>
      </c>
      <c r="N8" s="67">
        <v>105212</v>
      </c>
      <c r="O8" s="67">
        <v>122436</v>
      </c>
      <c r="P8" s="68">
        <v>56156</v>
      </c>
      <c r="Q8" s="108">
        <f>SUM(K8:P8)</f>
        <v>521586</v>
      </c>
      <c r="R8" s="109">
        <f>J8+Q8</f>
        <v>1165116</v>
      </c>
      <c r="S8" s="45"/>
    </row>
    <row r="9" spans="1:19" s="46" customFormat="1" ht="13.5" customHeight="1">
      <c r="A9" s="143"/>
      <c r="B9" s="47" t="s">
        <v>28</v>
      </c>
      <c r="C9" s="48" t="s">
        <v>5</v>
      </c>
      <c r="D9" s="105">
        <v>4932636</v>
      </c>
      <c r="E9" s="67">
        <v>3105996</v>
      </c>
      <c r="F9" s="129">
        <f>4887031+5250</f>
        <v>4892281</v>
      </c>
      <c r="G9" s="67">
        <v>2471139</v>
      </c>
      <c r="H9" s="67">
        <v>3952506</v>
      </c>
      <c r="I9" s="68">
        <v>4650180</v>
      </c>
      <c r="J9" s="131">
        <f>SUM(D9:I9)</f>
        <v>24004738</v>
      </c>
      <c r="K9" s="107">
        <v>2952806</v>
      </c>
      <c r="L9" s="106">
        <v>4390282</v>
      </c>
      <c r="M9" s="106">
        <v>4043347</v>
      </c>
      <c r="N9" s="106">
        <v>4811207</v>
      </c>
      <c r="O9" s="106">
        <v>5157053</v>
      </c>
      <c r="P9" s="107">
        <v>2309152</v>
      </c>
      <c r="Q9" s="108">
        <f>SUM(K9:P9)</f>
        <v>23663847</v>
      </c>
      <c r="R9" s="134">
        <f>J9+Q9</f>
        <v>47668585</v>
      </c>
      <c r="S9" s="45"/>
    </row>
    <row r="10" spans="1:19" s="46" customFormat="1" ht="13.5" customHeight="1" thickBot="1">
      <c r="A10" s="144"/>
      <c r="B10" s="20" t="s">
        <v>30</v>
      </c>
      <c r="C10" s="55" t="s">
        <v>6</v>
      </c>
      <c r="D10" s="65">
        <f aca="true" t="shared" si="2" ref="D10:I10">IF(D8=0,,D9/D8*1000)</f>
        <v>32178.669049964446</v>
      </c>
      <c r="E10" s="56">
        <f t="shared" si="2"/>
        <v>35655.20249793369</v>
      </c>
      <c r="F10" s="130">
        <f t="shared" si="2"/>
        <v>39186.52579978533</v>
      </c>
      <c r="G10" s="56">
        <f t="shared" si="2"/>
        <v>38905.159248705066</v>
      </c>
      <c r="H10" s="56">
        <f t="shared" si="2"/>
        <v>38809.41439849181</v>
      </c>
      <c r="I10" s="57">
        <f t="shared" si="2"/>
        <v>41180.46084908167</v>
      </c>
      <c r="J10" s="132">
        <f>(J9/J8)*1000</f>
        <v>37301.66115021833</v>
      </c>
      <c r="K10" s="57">
        <f aca="true" t="shared" si="3" ref="K10:Q10">IF(K8=0,,K9/K8*1000)</f>
        <v>45988.13231996013</v>
      </c>
      <c r="L10" s="56">
        <f t="shared" si="3"/>
        <v>46852.66370699223</v>
      </c>
      <c r="M10" s="56">
        <f t="shared" si="3"/>
        <v>50624.10166520596</v>
      </c>
      <c r="N10" s="56">
        <f t="shared" si="3"/>
        <v>45728.690643652815</v>
      </c>
      <c r="O10" s="56">
        <f t="shared" si="3"/>
        <v>42120.397595478455</v>
      </c>
      <c r="P10" s="57">
        <f t="shared" si="3"/>
        <v>41120.30771422466</v>
      </c>
      <c r="Q10" s="58">
        <f t="shared" si="3"/>
        <v>45369.022558120814</v>
      </c>
      <c r="R10" s="135">
        <f>(R9/R8)*1000</f>
        <v>40913.166585988</v>
      </c>
      <c r="S10" s="45"/>
    </row>
    <row r="11" spans="1:19" s="46" customFormat="1" ht="13.5" customHeight="1">
      <c r="A11" s="142" t="s">
        <v>35</v>
      </c>
      <c r="B11" s="47" t="s">
        <v>26</v>
      </c>
      <c r="C11" s="48" t="s">
        <v>4</v>
      </c>
      <c r="D11" s="66"/>
      <c r="E11" s="67">
        <v>18179</v>
      </c>
      <c r="F11" s="67">
        <v>48138</v>
      </c>
      <c r="G11" s="67">
        <v>23029</v>
      </c>
      <c r="H11" s="67">
        <v>33406</v>
      </c>
      <c r="I11" s="68">
        <v>33274</v>
      </c>
      <c r="J11" s="108">
        <f>SUM(D11:I11)</f>
        <v>156026</v>
      </c>
      <c r="K11" s="68">
        <v>10003</v>
      </c>
      <c r="L11" s="67">
        <v>27497</v>
      </c>
      <c r="M11" s="67">
        <v>32514</v>
      </c>
      <c r="N11" s="67">
        <v>22463</v>
      </c>
      <c r="O11" s="67">
        <v>62744</v>
      </c>
      <c r="P11" s="68">
        <v>40577</v>
      </c>
      <c r="Q11" s="108">
        <f>SUM(K11:P11)</f>
        <v>195798</v>
      </c>
      <c r="R11" s="109">
        <f>J11+Q11</f>
        <v>351824</v>
      </c>
      <c r="S11" s="45"/>
    </row>
    <row r="12" spans="1:19" s="46" customFormat="1" ht="13.5" customHeight="1">
      <c r="A12" s="143"/>
      <c r="B12" s="47" t="s">
        <v>28</v>
      </c>
      <c r="C12" s="48" t="s">
        <v>5</v>
      </c>
      <c r="D12" s="66"/>
      <c r="E12" s="106">
        <v>644465</v>
      </c>
      <c r="F12" s="106">
        <v>1858354</v>
      </c>
      <c r="G12" s="106">
        <v>875284</v>
      </c>
      <c r="H12" s="106">
        <v>1261678</v>
      </c>
      <c r="I12" s="68">
        <v>1467332</v>
      </c>
      <c r="J12" s="108">
        <f>SUM(D12:I12)</f>
        <v>6107113</v>
      </c>
      <c r="K12" s="107">
        <v>454796</v>
      </c>
      <c r="L12" s="106">
        <v>1378425</v>
      </c>
      <c r="M12" s="106">
        <v>1685944</v>
      </c>
      <c r="N12" s="106">
        <v>1062378</v>
      </c>
      <c r="O12" s="106">
        <v>2588096</v>
      </c>
      <c r="P12" s="107">
        <v>1735537</v>
      </c>
      <c r="Q12" s="108">
        <f>SUM(K12:P12)</f>
        <v>8905176</v>
      </c>
      <c r="R12" s="109">
        <f>J12+Q12</f>
        <v>15012289</v>
      </c>
      <c r="S12" s="45"/>
    </row>
    <row r="13" spans="1:19" s="46" customFormat="1" ht="13.5" customHeight="1" thickBot="1">
      <c r="A13" s="144"/>
      <c r="B13" s="20" t="s">
        <v>30</v>
      </c>
      <c r="C13" s="55" t="s">
        <v>6</v>
      </c>
      <c r="D13" s="65">
        <f aca="true" t="shared" si="4" ref="D13:I13">IF(D11=0,,D12/D11*1000)</f>
        <v>0</v>
      </c>
      <c r="E13" s="56">
        <f t="shared" si="4"/>
        <v>35451.06991583695</v>
      </c>
      <c r="F13" s="56">
        <f t="shared" si="4"/>
        <v>38604.719764011796</v>
      </c>
      <c r="G13" s="56">
        <f t="shared" si="4"/>
        <v>38007.90307872682</v>
      </c>
      <c r="H13" s="56">
        <f t="shared" si="4"/>
        <v>37768.00574747051</v>
      </c>
      <c r="I13" s="57">
        <f t="shared" si="4"/>
        <v>44098.455250345614</v>
      </c>
      <c r="J13" s="58">
        <f>(J12/J11)*1000</f>
        <v>39141.63665030187</v>
      </c>
      <c r="K13" s="57">
        <f aca="true" t="shared" si="5" ref="K13:Q13">IF(K11=0,,K12/K11*1000)</f>
        <v>45465.96021193642</v>
      </c>
      <c r="L13" s="56">
        <f t="shared" si="5"/>
        <v>50130.01418336546</v>
      </c>
      <c r="M13" s="56">
        <f t="shared" si="5"/>
        <v>51852.86338192778</v>
      </c>
      <c r="N13" s="56">
        <f t="shared" si="5"/>
        <v>47294.57329831278</v>
      </c>
      <c r="O13" s="56">
        <f t="shared" si="5"/>
        <v>41248.501848782355</v>
      </c>
      <c r="P13" s="57">
        <f t="shared" si="5"/>
        <v>42771.446878773684</v>
      </c>
      <c r="Q13" s="58">
        <f t="shared" si="5"/>
        <v>45481.44516287194</v>
      </c>
      <c r="R13" s="59">
        <f>(R12/R11)*1000</f>
        <v>42669.88323707308</v>
      </c>
      <c r="S13" s="60"/>
    </row>
    <row r="14" spans="1:19" s="46" customFormat="1" ht="13.5" customHeight="1">
      <c r="A14" s="142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108">
        <f>SUM(D14:I14)</f>
        <v>0</v>
      </c>
      <c r="K14" s="68"/>
      <c r="L14" s="67"/>
      <c r="M14" s="67"/>
      <c r="N14" s="67"/>
      <c r="O14" s="67"/>
      <c r="P14" s="68"/>
      <c r="Q14" s="108">
        <f>SUM(K14:P14)</f>
        <v>0</v>
      </c>
      <c r="R14" s="109">
        <f>J14+Q14</f>
        <v>0</v>
      </c>
      <c r="S14" s="45"/>
    </row>
    <row r="15" spans="1:19" s="46" customFormat="1" ht="13.5" customHeight="1">
      <c r="A15" s="143"/>
      <c r="B15" s="47" t="s">
        <v>28</v>
      </c>
      <c r="C15" s="48" t="s">
        <v>5</v>
      </c>
      <c r="D15" s="66"/>
      <c r="E15" s="106"/>
      <c r="F15" s="67"/>
      <c r="G15" s="50"/>
      <c r="H15" s="50"/>
      <c r="I15" s="51"/>
      <c r="J15" s="108">
        <f>SUM(D15:I15)</f>
        <v>0</v>
      </c>
      <c r="K15" s="51"/>
      <c r="L15" s="50"/>
      <c r="M15" s="50"/>
      <c r="N15" s="50"/>
      <c r="O15" s="50"/>
      <c r="P15" s="107"/>
      <c r="Q15" s="108">
        <f>SUM(K15:P15)</f>
        <v>0</v>
      </c>
      <c r="R15" s="109">
        <f>J15+Q15</f>
        <v>0</v>
      </c>
      <c r="S15" s="45"/>
    </row>
    <row r="16" spans="1:19" s="46" customFormat="1" ht="13.5" customHeight="1" thickBot="1">
      <c r="A16" s="144"/>
      <c r="B16" s="20" t="s">
        <v>30</v>
      </c>
      <c r="C16" s="55" t="s">
        <v>6</v>
      </c>
      <c r="D16" s="65">
        <f aca="true" t="shared" si="6" ref="D16:I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7">
        <f t="shared" si="6"/>
        <v>0</v>
      </c>
      <c r="J16" s="58">
        <f aca="true" t="shared" si="7" ref="J16:R16">IF(J14=0,,J15/J14*1000)</f>
        <v>0</v>
      </c>
      <c r="K16" s="57">
        <f t="shared" si="7"/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 t="shared" si="7"/>
        <v>0</v>
      </c>
      <c r="R16" s="59">
        <f t="shared" si="7"/>
        <v>0</v>
      </c>
      <c r="S16" s="60"/>
    </row>
    <row r="17" spans="1:19" s="46" customFormat="1" ht="13.5" customHeight="1">
      <c r="A17" s="142" t="s">
        <v>39</v>
      </c>
      <c r="B17" s="47" t="s">
        <v>26</v>
      </c>
      <c r="C17" s="48" t="s">
        <v>4</v>
      </c>
      <c r="D17" s="66">
        <v>33879</v>
      </c>
      <c r="E17" s="67">
        <v>125706</v>
      </c>
      <c r="F17" s="67">
        <v>76025</v>
      </c>
      <c r="G17" s="67">
        <v>62546</v>
      </c>
      <c r="H17" s="67">
        <v>56490</v>
      </c>
      <c r="I17" s="68">
        <v>77414</v>
      </c>
      <c r="J17" s="108">
        <f>SUM(D17:I17)</f>
        <v>432060</v>
      </c>
      <c r="K17" s="68">
        <v>61594</v>
      </c>
      <c r="L17" s="67">
        <v>122685</v>
      </c>
      <c r="M17" s="67">
        <v>116118</v>
      </c>
      <c r="N17" s="67">
        <v>91587</v>
      </c>
      <c r="O17" s="67">
        <v>46937</v>
      </c>
      <c r="P17" s="68">
        <v>164575</v>
      </c>
      <c r="Q17" s="108">
        <f>SUM(K17:P17)</f>
        <v>603496</v>
      </c>
      <c r="R17" s="109">
        <f>J17+Q17</f>
        <v>1035556</v>
      </c>
      <c r="S17" s="45"/>
    </row>
    <row r="18" spans="1:19" s="46" customFormat="1" ht="13.5" customHeight="1">
      <c r="A18" s="143"/>
      <c r="B18" s="47" t="s">
        <v>28</v>
      </c>
      <c r="C18" s="48" t="s">
        <v>5</v>
      </c>
      <c r="D18" s="66">
        <v>1120803</v>
      </c>
      <c r="E18" s="67">
        <v>4548754</v>
      </c>
      <c r="F18" s="67">
        <v>2927577</v>
      </c>
      <c r="G18" s="67">
        <v>2393038</v>
      </c>
      <c r="H18" s="67">
        <v>2197877</v>
      </c>
      <c r="I18" s="68">
        <v>3324105</v>
      </c>
      <c r="J18" s="108">
        <f>SUM(D18:I18)</f>
        <v>16512154</v>
      </c>
      <c r="K18" s="107">
        <v>2849786</v>
      </c>
      <c r="L18" s="106">
        <v>5903741</v>
      </c>
      <c r="M18" s="106">
        <v>5640176</v>
      </c>
      <c r="N18" s="106">
        <v>4214284</v>
      </c>
      <c r="O18" s="106">
        <v>1951770</v>
      </c>
      <c r="P18" s="107">
        <v>6998715</v>
      </c>
      <c r="Q18" s="108">
        <f>SUM(K18:P18)</f>
        <v>27558472</v>
      </c>
      <c r="R18" s="109">
        <f>J18+Q18</f>
        <v>44070626</v>
      </c>
      <c r="S18" s="45"/>
    </row>
    <row r="19" spans="1:19" s="46" customFormat="1" ht="13.5" customHeight="1" thickBot="1">
      <c r="A19" s="144"/>
      <c r="B19" s="20" t="s">
        <v>30</v>
      </c>
      <c r="C19" s="55" t="s">
        <v>6</v>
      </c>
      <c r="D19" s="65">
        <f aca="true" t="shared" si="8" ref="D19:I19">IF(D17=0,,D18/D17*1000)</f>
        <v>33082.529000265655</v>
      </c>
      <c r="E19" s="56">
        <f t="shared" si="8"/>
        <v>36185.65541819802</v>
      </c>
      <c r="F19" s="50">
        <f t="shared" si="8"/>
        <v>38508.0828674778</v>
      </c>
      <c r="G19" s="56">
        <f t="shared" si="8"/>
        <v>38260.44831004381</v>
      </c>
      <c r="H19" s="56">
        <f t="shared" si="8"/>
        <v>38907.364135245174</v>
      </c>
      <c r="I19" s="57">
        <f t="shared" si="8"/>
        <v>42939.32622006356</v>
      </c>
      <c r="J19" s="58">
        <f>(J18/J17)*1000</f>
        <v>38217.27074943295</v>
      </c>
      <c r="K19" s="57">
        <f aca="true" t="shared" si="9" ref="K19:Q19">IF(K17=0,,K18/K17*1000)</f>
        <v>46267.26629217131</v>
      </c>
      <c r="L19" s="56">
        <f t="shared" si="9"/>
        <v>48121.1313526511</v>
      </c>
      <c r="M19" s="56">
        <f t="shared" si="9"/>
        <v>48572.79663790283</v>
      </c>
      <c r="N19" s="56">
        <f t="shared" si="9"/>
        <v>46013.99761974953</v>
      </c>
      <c r="O19" s="56">
        <f t="shared" si="9"/>
        <v>41582.75986961246</v>
      </c>
      <c r="P19" s="57">
        <f t="shared" si="9"/>
        <v>42525.99118942732</v>
      </c>
      <c r="Q19" s="58">
        <f t="shared" si="9"/>
        <v>45664.713602078555</v>
      </c>
      <c r="R19" s="59">
        <f>(R18/R17)*1000</f>
        <v>42557.4531942261</v>
      </c>
      <c r="S19" s="60"/>
    </row>
    <row r="20" spans="1:19" s="46" customFormat="1" ht="13.5" customHeight="1">
      <c r="A20" s="151" t="s">
        <v>41</v>
      </c>
      <c r="B20" s="47" t="s">
        <v>26</v>
      </c>
      <c r="C20" s="48" t="s">
        <v>4</v>
      </c>
      <c r="D20" s="66">
        <f>141498-22734</f>
        <v>118764</v>
      </c>
      <c r="E20" s="67">
        <v>126974</v>
      </c>
      <c r="F20" s="128">
        <v>128712</v>
      </c>
      <c r="G20" s="67">
        <f>113872-32871</f>
        <v>81001</v>
      </c>
      <c r="H20" s="67">
        <f>196129-23503</f>
        <v>172626</v>
      </c>
      <c r="I20" s="68">
        <v>160738</v>
      </c>
      <c r="J20" s="108">
        <f>SUM(D20:I20)</f>
        <v>788815</v>
      </c>
      <c r="K20" s="68">
        <v>93299</v>
      </c>
      <c r="L20" s="67">
        <f>176033-22637</f>
        <v>153396</v>
      </c>
      <c r="M20" s="67">
        <v>195270</v>
      </c>
      <c r="N20" s="67">
        <v>113874</v>
      </c>
      <c r="O20" s="67">
        <f>200956-22259</f>
        <v>178697</v>
      </c>
      <c r="P20" s="68">
        <f>245527-54541</f>
        <v>190986</v>
      </c>
      <c r="Q20" s="108">
        <f>SUM(K20:P20)</f>
        <v>925522</v>
      </c>
      <c r="R20" s="109">
        <f>J20+Q20</f>
        <v>1714337</v>
      </c>
      <c r="S20" s="45"/>
    </row>
    <row r="21" spans="1:19" s="46" customFormat="1" ht="13.5" customHeight="1">
      <c r="A21" s="152"/>
      <c r="B21" s="47" t="s">
        <v>28</v>
      </c>
      <c r="C21" s="48" t="s">
        <v>5</v>
      </c>
      <c r="D21" s="66">
        <f>4210103-519578</f>
        <v>3690525</v>
      </c>
      <c r="E21" s="67">
        <v>4601160</v>
      </c>
      <c r="F21" s="67">
        <v>5191028</v>
      </c>
      <c r="G21" s="67">
        <f>3913278-856137</f>
        <v>3057141</v>
      </c>
      <c r="H21" s="67">
        <f>7442716-634162</f>
        <v>6808554</v>
      </c>
      <c r="I21" s="68">
        <v>6972064</v>
      </c>
      <c r="J21" s="108">
        <f>SUM(D21:I21)</f>
        <v>30320472</v>
      </c>
      <c r="K21" s="107">
        <v>4263602</v>
      </c>
      <c r="L21" s="106">
        <f>8164292-639257</f>
        <v>7525035</v>
      </c>
      <c r="M21" s="106">
        <v>9626724</v>
      </c>
      <c r="N21" s="106">
        <v>5315209</v>
      </c>
      <c r="O21" s="106">
        <f>8118013-671448</f>
        <v>7446565</v>
      </c>
      <c r="P21" s="107">
        <f>9480037-1842184</f>
        <v>7637853</v>
      </c>
      <c r="Q21" s="108">
        <f>SUM(K21:P21)</f>
        <v>41814988</v>
      </c>
      <c r="R21" s="109">
        <f>J21+Q21</f>
        <v>72135460</v>
      </c>
      <c r="S21" s="45"/>
    </row>
    <row r="22" spans="1:19" s="46" customFormat="1" ht="13.5" customHeight="1" thickBot="1">
      <c r="A22" s="153"/>
      <c r="B22" s="20" t="s">
        <v>30</v>
      </c>
      <c r="C22" s="55" t="s">
        <v>6</v>
      </c>
      <c r="D22" s="65">
        <f aca="true" t="shared" si="10" ref="D22:I22">IF(D20=0,,D21/D20*1000)</f>
        <v>31074.44175002526</v>
      </c>
      <c r="E22" s="56">
        <f t="shared" si="10"/>
        <v>36237.024902736</v>
      </c>
      <c r="F22" s="56">
        <f t="shared" si="10"/>
        <v>40330.567468456706</v>
      </c>
      <c r="G22" s="56">
        <f t="shared" si="10"/>
        <v>37742.01553067246</v>
      </c>
      <c r="H22" s="56">
        <f t="shared" si="10"/>
        <v>39441.0691321122</v>
      </c>
      <c r="I22" s="57">
        <f t="shared" si="10"/>
        <v>43375.331284450476</v>
      </c>
      <c r="J22" s="58">
        <f>(J21/J20)*1000</f>
        <v>38438.0013057561</v>
      </c>
      <c r="K22" s="57">
        <f aca="true" t="shared" si="11" ref="K22:Q22">IF(K20=0,,K21/K20*1000)</f>
        <v>45698.260431515875</v>
      </c>
      <c r="L22" s="56">
        <f t="shared" si="11"/>
        <v>49056.26613471016</v>
      </c>
      <c r="M22" s="56">
        <f t="shared" si="11"/>
        <v>49299.55446305116</v>
      </c>
      <c r="N22" s="56">
        <f t="shared" si="11"/>
        <v>46676.22986809983</v>
      </c>
      <c r="O22" s="56">
        <f t="shared" si="11"/>
        <v>41671.46062888577</v>
      </c>
      <c r="P22" s="57">
        <f t="shared" si="11"/>
        <v>39991.69049040244</v>
      </c>
      <c r="Q22" s="58">
        <f t="shared" si="11"/>
        <v>45179.89631796975</v>
      </c>
      <c r="R22" s="59">
        <f>(R21/R20)*1000</f>
        <v>42077.75950702808</v>
      </c>
      <c r="S22" s="60"/>
    </row>
    <row r="23" spans="1:19" s="46" customFormat="1" ht="13.5" customHeight="1">
      <c r="A23" s="142" t="s">
        <v>42</v>
      </c>
      <c r="B23" s="47" t="s">
        <v>26</v>
      </c>
      <c r="C23" s="48" t="s">
        <v>4</v>
      </c>
      <c r="D23" s="66">
        <v>46689</v>
      </c>
      <c r="E23" s="67">
        <v>41034</v>
      </c>
      <c r="F23" s="67">
        <v>37358</v>
      </c>
      <c r="G23" s="67">
        <v>61123</v>
      </c>
      <c r="H23" s="67">
        <v>29402</v>
      </c>
      <c r="I23" s="68">
        <v>30645</v>
      </c>
      <c r="J23" s="108">
        <f>SUM(D23:I23)</f>
        <v>246251</v>
      </c>
      <c r="K23" s="68">
        <v>33424</v>
      </c>
      <c r="L23" s="67">
        <v>24935</v>
      </c>
      <c r="M23" s="67">
        <v>56857</v>
      </c>
      <c r="N23" s="67">
        <v>31472</v>
      </c>
      <c r="O23" s="67">
        <v>40557</v>
      </c>
      <c r="P23" s="68">
        <v>55213</v>
      </c>
      <c r="Q23" s="108">
        <f>SUM(K23:P23)</f>
        <v>242458</v>
      </c>
      <c r="R23" s="109">
        <f>J23+Q23</f>
        <v>488709</v>
      </c>
      <c r="S23" s="45"/>
    </row>
    <row r="24" spans="1:19" s="46" customFormat="1" ht="13.5" customHeight="1">
      <c r="A24" s="143"/>
      <c r="B24" s="47" t="s">
        <v>28</v>
      </c>
      <c r="C24" s="48" t="s">
        <v>5</v>
      </c>
      <c r="D24" s="66">
        <v>1473933</v>
      </c>
      <c r="E24" s="67">
        <v>1528007</v>
      </c>
      <c r="F24" s="67">
        <v>1443933</v>
      </c>
      <c r="G24" s="67">
        <v>2362665</v>
      </c>
      <c r="H24" s="67">
        <v>1156603</v>
      </c>
      <c r="I24" s="68">
        <v>1279067</v>
      </c>
      <c r="J24" s="108">
        <f>SUM(D24:I24)</f>
        <v>9244208</v>
      </c>
      <c r="K24" s="107">
        <v>1542521</v>
      </c>
      <c r="L24" s="106">
        <v>1191418</v>
      </c>
      <c r="M24" s="106">
        <v>2866397</v>
      </c>
      <c r="N24" s="106">
        <v>1283688</v>
      </c>
      <c r="O24" s="106">
        <v>1682791</v>
      </c>
      <c r="P24" s="107">
        <v>2323906</v>
      </c>
      <c r="Q24" s="108">
        <f>SUM(K24:P24)</f>
        <v>10890721</v>
      </c>
      <c r="R24" s="109">
        <f>J24+Q24</f>
        <v>20134929</v>
      </c>
      <c r="S24" s="45"/>
    </row>
    <row r="25" spans="1:19" s="46" customFormat="1" ht="13.5" customHeight="1" thickBot="1">
      <c r="A25" s="144"/>
      <c r="B25" s="20" t="s">
        <v>30</v>
      </c>
      <c r="C25" s="55" t="s">
        <v>6</v>
      </c>
      <c r="D25" s="65">
        <f aca="true" t="shared" si="12" ref="D25:I25">IF(D23=0,,D24/D23*1000)</f>
        <v>31569.170468418688</v>
      </c>
      <c r="E25" s="56">
        <f t="shared" si="12"/>
        <v>37237.583467368524</v>
      </c>
      <c r="F25" s="56">
        <f t="shared" si="12"/>
        <v>38651.23935970876</v>
      </c>
      <c r="G25" s="56">
        <f t="shared" si="12"/>
        <v>38654.27089638925</v>
      </c>
      <c r="H25" s="56">
        <f t="shared" si="12"/>
        <v>39337.56207060744</v>
      </c>
      <c r="I25" s="57">
        <f t="shared" si="12"/>
        <v>41738.195464186654</v>
      </c>
      <c r="J25" s="58">
        <f>(J24/J23)*1000</f>
        <v>37539.77851866591</v>
      </c>
      <c r="K25" s="57">
        <f aca="true" t="shared" si="13" ref="K25:Q25">IF(K23=0,,K24/K23*1000)</f>
        <v>46150.10172331259</v>
      </c>
      <c r="L25" s="56">
        <f t="shared" si="13"/>
        <v>47780.95047122518</v>
      </c>
      <c r="M25" s="56">
        <f t="shared" si="13"/>
        <v>50414.144256643856</v>
      </c>
      <c r="N25" s="56">
        <f t="shared" si="13"/>
        <v>40788.25622775801</v>
      </c>
      <c r="O25" s="56">
        <f t="shared" si="13"/>
        <v>41491.998915107135</v>
      </c>
      <c r="P25" s="57">
        <f t="shared" si="13"/>
        <v>42089.83391592559</v>
      </c>
      <c r="Q25" s="58">
        <f t="shared" si="13"/>
        <v>44917.969297775286</v>
      </c>
      <c r="R25" s="59">
        <f>(R24/R23)*1000</f>
        <v>41200.24186172139</v>
      </c>
      <c r="S25" s="60"/>
    </row>
    <row r="26" spans="1:19" s="46" customFormat="1" ht="13.5" customHeight="1">
      <c r="A26" s="142" t="s">
        <v>44</v>
      </c>
      <c r="B26" s="47" t="s">
        <v>26</v>
      </c>
      <c r="C26" s="48" t="s">
        <v>4</v>
      </c>
      <c r="D26" s="66">
        <v>44720</v>
      </c>
      <c r="E26" s="67">
        <v>21012</v>
      </c>
      <c r="F26" s="67">
        <v>12610</v>
      </c>
      <c r="G26" s="67">
        <v>12083</v>
      </c>
      <c r="H26" s="67">
        <v>598</v>
      </c>
      <c r="I26" s="68">
        <v>165</v>
      </c>
      <c r="J26" s="108">
        <f>SUM(D26:I26)</f>
        <v>91188</v>
      </c>
      <c r="K26" s="68"/>
      <c r="L26" s="67">
        <v>33775</v>
      </c>
      <c r="M26" s="67">
        <v>28488</v>
      </c>
      <c r="N26" s="67">
        <v>19041</v>
      </c>
      <c r="O26" s="67">
        <v>58137</v>
      </c>
      <c r="P26" s="68">
        <v>25538</v>
      </c>
      <c r="Q26" s="108">
        <f>SUM(K26:P26)</f>
        <v>164979</v>
      </c>
      <c r="R26" s="109">
        <f>J26+Q26</f>
        <v>256167</v>
      </c>
      <c r="S26" s="45"/>
    </row>
    <row r="27" spans="1:19" s="46" customFormat="1" ht="13.5" customHeight="1">
      <c r="A27" s="143"/>
      <c r="B27" s="47" t="s">
        <v>28</v>
      </c>
      <c r="C27" s="48" t="s">
        <v>5</v>
      </c>
      <c r="D27" s="66">
        <v>1474151</v>
      </c>
      <c r="E27" s="67">
        <v>800927</v>
      </c>
      <c r="F27" s="67">
        <v>477503</v>
      </c>
      <c r="G27" s="67">
        <v>492787</v>
      </c>
      <c r="H27" s="67">
        <v>25551</v>
      </c>
      <c r="I27" s="68">
        <v>6442</v>
      </c>
      <c r="J27" s="108">
        <f>SUM(D27:I27)</f>
        <v>3277361</v>
      </c>
      <c r="K27" s="107"/>
      <c r="L27" s="106">
        <v>1705325</v>
      </c>
      <c r="M27" s="106">
        <v>1382151</v>
      </c>
      <c r="N27" s="106">
        <v>892657</v>
      </c>
      <c r="O27" s="106">
        <v>2366464</v>
      </c>
      <c r="P27" s="107">
        <v>1090876</v>
      </c>
      <c r="Q27" s="108">
        <f>SUM(K27:P27)</f>
        <v>7437473</v>
      </c>
      <c r="R27" s="109">
        <f>J27+Q27</f>
        <v>10714834</v>
      </c>
      <c r="S27" s="45"/>
    </row>
    <row r="28" spans="1:19" s="46" customFormat="1" ht="13.5" customHeight="1" thickBot="1">
      <c r="A28" s="144"/>
      <c r="B28" s="20" t="s">
        <v>30</v>
      </c>
      <c r="C28" s="55" t="s">
        <v>6</v>
      </c>
      <c r="D28" s="65">
        <f aca="true" t="shared" si="14" ref="D28:I28">IF(D26=0,,D27/D26*1000)</f>
        <v>32964.020572450805</v>
      </c>
      <c r="E28" s="56">
        <f t="shared" si="14"/>
        <v>38117.59946697126</v>
      </c>
      <c r="F28" s="56">
        <f t="shared" si="14"/>
        <v>37867.01030927835</v>
      </c>
      <c r="G28" s="56">
        <f t="shared" si="14"/>
        <v>40783.497475792436</v>
      </c>
      <c r="H28" s="56">
        <f t="shared" si="14"/>
        <v>42727.42474916388</v>
      </c>
      <c r="I28" s="57">
        <f t="shared" si="14"/>
        <v>39042.42424242424</v>
      </c>
      <c r="J28" s="58">
        <f>(J27/J26)*1000</f>
        <v>35940.704917313684</v>
      </c>
      <c r="K28" s="57">
        <f aca="true" t="shared" si="15" ref="K28:Q28">IF(K26=0,,K27/K26*1000)</f>
        <v>0</v>
      </c>
      <c r="L28" s="56">
        <f t="shared" si="15"/>
        <v>50490.74759437454</v>
      </c>
      <c r="M28" s="56">
        <f t="shared" si="15"/>
        <v>48516.95450716091</v>
      </c>
      <c r="N28" s="56">
        <f t="shared" si="15"/>
        <v>46880.78357229137</v>
      </c>
      <c r="O28" s="56">
        <f t="shared" si="15"/>
        <v>40704.95553606137</v>
      </c>
      <c r="P28" s="57">
        <f t="shared" si="15"/>
        <v>42715.79606860365</v>
      </c>
      <c r="Q28" s="58">
        <f t="shared" si="15"/>
        <v>45081.3315634111</v>
      </c>
      <c r="R28" s="59">
        <f>(R27/R26)*1000</f>
        <v>41827.53438186808</v>
      </c>
      <c r="S28" s="60"/>
    </row>
    <row r="29" spans="1:19" s="46" customFormat="1" ht="13.5" customHeight="1">
      <c r="A29" s="142" t="s">
        <v>46</v>
      </c>
      <c r="B29" s="47" t="s">
        <v>26</v>
      </c>
      <c r="C29" s="48" t="s">
        <v>4</v>
      </c>
      <c r="D29" s="66">
        <v>766</v>
      </c>
      <c r="E29" s="67">
        <v>2987</v>
      </c>
      <c r="F29" s="67">
        <v>410</v>
      </c>
      <c r="G29" s="67">
        <v>1865</v>
      </c>
      <c r="H29" s="67">
        <v>3755</v>
      </c>
      <c r="I29" s="68">
        <v>2271</v>
      </c>
      <c r="J29" s="108">
        <f>SUM(D29:I29)</f>
        <v>12054</v>
      </c>
      <c r="K29" s="68">
        <v>2036</v>
      </c>
      <c r="L29" s="67">
        <v>753</v>
      </c>
      <c r="M29" s="67">
        <v>756</v>
      </c>
      <c r="N29" s="67">
        <v>767</v>
      </c>
      <c r="O29" s="67">
        <v>772</v>
      </c>
      <c r="P29" s="68"/>
      <c r="Q29" s="108">
        <f>SUM(K29:P29)</f>
        <v>5084</v>
      </c>
      <c r="R29" s="109">
        <f>J29+Q29</f>
        <v>17138</v>
      </c>
      <c r="S29" s="45"/>
    </row>
    <row r="30" spans="1:19" s="46" customFormat="1" ht="13.5" customHeight="1">
      <c r="A30" s="143"/>
      <c r="B30" s="47" t="s">
        <v>28</v>
      </c>
      <c r="C30" s="48" t="s">
        <v>5</v>
      </c>
      <c r="D30" s="66">
        <v>26983</v>
      </c>
      <c r="E30" s="67">
        <v>112626</v>
      </c>
      <c r="F30" s="106">
        <v>17207</v>
      </c>
      <c r="G30" s="67">
        <v>77027</v>
      </c>
      <c r="H30" s="106">
        <v>162588</v>
      </c>
      <c r="I30" s="107">
        <v>99728</v>
      </c>
      <c r="J30" s="108">
        <f>SUM(D30:I30)</f>
        <v>496159</v>
      </c>
      <c r="K30" s="107">
        <v>105346</v>
      </c>
      <c r="L30" s="106">
        <v>36914</v>
      </c>
      <c r="M30" s="106">
        <v>41194</v>
      </c>
      <c r="N30" s="106">
        <v>38329</v>
      </c>
      <c r="O30" s="106">
        <v>34385</v>
      </c>
      <c r="P30" s="107"/>
      <c r="Q30" s="108">
        <f>SUM(K30:P30)</f>
        <v>256168</v>
      </c>
      <c r="R30" s="109">
        <f>J30+Q30</f>
        <v>752327</v>
      </c>
      <c r="S30" s="45"/>
    </row>
    <row r="31" spans="1:19" s="46" customFormat="1" ht="13.5" customHeight="1" thickBot="1">
      <c r="A31" s="144"/>
      <c r="B31" s="20" t="s">
        <v>30</v>
      </c>
      <c r="C31" s="55" t="s">
        <v>6</v>
      </c>
      <c r="D31" s="65">
        <f aca="true" t="shared" si="16" ref="D31:I31">IF(D29=0,,D30/D29*1000)</f>
        <v>35225.84856396867</v>
      </c>
      <c r="E31" s="56">
        <f t="shared" si="16"/>
        <v>37705.390023434884</v>
      </c>
      <c r="F31" s="56">
        <f t="shared" si="16"/>
        <v>41968.29268292683</v>
      </c>
      <c r="G31" s="56">
        <f t="shared" si="16"/>
        <v>41301.34048257373</v>
      </c>
      <c r="H31" s="56">
        <f t="shared" si="16"/>
        <v>43299.06790945406</v>
      </c>
      <c r="I31" s="57">
        <f t="shared" si="16"/>
        <v>43913.694407749885</v>
      </c>
      <c r="J31" s="58">
        <f>(J30/J29)*1000</f>
        <v>41161.357225817155</v>
      </c>
      <c r="K31" s="57">
        <f aca="true" t="shared" si="17" ref="K31:Q31">IF(K29=0,,K30/K29*1000)</f>
        <v>51741.65029469548</v>
      </c>
      <c r="L31" s="56">
        <f t="shared" si="17"/>
        <v>49022.57636122178</v>
      </c>
      <c r="M31" s="56">
        <f t="shared" si="17"/>
        <v>54489.41798941799</v>
      </c>
      <c r="N31" s="56">
        <f t="shared" si="17"/>
        <v>49972.620599739246</v>
      </c>
      <c r="O31" s="56">
        <f t="shared" si="17"/>
        <v>44540.155440414506</v>
      </c>
      <c r="P31" s="57">
        <f t="shared" si="17"/>
        <v>0</v>
      </c>
      <c r="Q31" s="58">
        <f t="shared" si="17"/>
        <v>50387.09677419355</v>
      </c>
      <c r="R31" s="59">
        <f>(R30/R29)*1000</f>
        <v>43898.17948418719</v>
      </c>
      <c r="S31" s="60"/>
    </row>
    <row r="32" spans="1:19" s="46" customFormat="1" ht="13.5" customHeight="1">
      <c r="A32" s="142" t="s">
        <v>48</v>
      </c>
      <c r="B32" s="47" t="s">
        <v>26</v>
      </c>
      <c r="C32" s="48" t="s">
        <v>4</v>
      </c>
      <c r="D32" s="66"/>
      <c r="E32" s="67">
        <v>19805</v>
      </c>
      <c r="F32" s="67"/>
      <c r="G32" s="67"/>
      <c r="H32" s="67"/>
      <c r="I32" s="68"/>
      <c r="J32" s="108">
        <f>SUM(D32:I32)</f>
        <v>19805</v>
      </c>
      <c r="K32" s="68"/>
      <c r="L32" s="67"/>
      <c r="M32" s="67">
        <v>21174</v>
      </c>
      <c r="N32" s="67"/>
      <c r="O32" s="67"/>
      <c r="P32" s="68"/>
      <c r="Q32" s="108">
        <f>SUM(K32:P32)</f>
        <v>21174</v>
      </c>
      <c r="R32" s="109">
        <f>J32+Q32</f>
        <v>40979</v>
      </c>
      <c r="S32" s="45"/>
    </row>
    <row r="33" spans="1:19" s="46" customFormat="1" ht="13.5" customHeight="1">
      <c r="A33" s="143"/>
      <c r="B33" s="47" t="s">
        <v>28</v>
      </c>
      <c r="C33" s="48" t="s">
        <v>5</v>
      </c>
      <c r="D33" s="66"/>
      <c r="E33" s="106">
        <v>679511</v>
      </c>
      <c r="F33" s="106"/>
      <c r="G33" s="50"/>
      <c r="H33" s="50"/>
      <c r="I33" s="107"/>
      <c r="J33" s="108">
        <f>SUM(D33:I33)</f>
        <v>679511</v>
      </c>
      <c r="K33" s="107"/>
      <c r="L33" s="106"/>
      <c r="M33" s="106">
        <v>1035559</v>
      </c>
      <c r="N33" s="106"/>
      <c r="O33" s="106"/>
      <c r="P33" s="107"/>
      <c r="Q33" s="108">
        <f>SUM(K33:P33)</f>
        <v>1035559</v>
      </c>
      <c r="R33" s="109">
        <f>J33+Q33</f>
        <v>1715070</v>
      </c>
      <c r="S33" s="45"/>
    </row>
    <row r="34" spans="1:19" s="46" customFormat="1" ht="13.5" customHeight="1" thickBot="1">
      <c r="A34" s="144"/>
      <c r="B34" s="20" t="s">
        <v>30</v>
      </c>
      <c r="C34" s="55" t="s">
        <v>6</v>
      </c>
      <c r="D34" s="65">
        <f aca="true" t="shared" si="18" ref="D34:I34">IF(D32=0,,D33/D32*1000)</f>
        <v>0</v>
      </c>
      <c r="E34" s="56">
        <f t="shared" si="18"/>
        <v>34310.07321383489</v>
      </c>
      <c r="F34" s="56">
        <f t="shared" si="18"/>
        <v>0</v>
      </c>
      <c r="G34" s="56">
        <f t="shared" si="18"/>
        <v>0</v>
      </c>
      <c r="H34" s="56">
        <f t="shared" si="18"/>
        <v>0</v>
      </c>
      <c r="I34" s="57">
        <f t="shared" si="18"/>
        <v>0</v>
      </c>
      <c r="J34" s="58">
        <f aca="true" t="shared" si="19" ref="J34:P34">IF(J32=0,,J33/J32*1000)</f>
        <v>34310.07321383489</v>
      </c>
      <c r="K34" s="57">
        <f t="shared" si="19"/>
        <v>0</v>
      </c>
      <c r="L34" s="56">
        <f t="shared" si="19"/>
        <v>0</v>
      </c>
      <c r="M34" s="56">
        <f t="shared" si="19"/>
        <v>48907.10305091149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>IF(Q32=0,,Q33/Q32*1000)</f>
        <v>48907.10305091149</v>
      </c>
      <c r="R34" s="59">
        <f>IF(R32=0,,R33/R32*1000)</f>
        <v>41852.412211132534</v>
      </c>
      <c r="S34" s="60"/>
    </row>
    <row r="35" spans="1:19" s="46" customFormat="1" ht="13.5" customHeight="1">
      <c r="A35" s="142" t="s">
        <v>50</v>
      </c>
      <c r="B35" s="47" t="s">
        <v>26</v>
      </c>
      <c r="C35" s="48" t="s">
        <v>4</v>
      </c>
      <c r="D35" s="66"/>
      <c r="E35" s="67">
        <v>9624</v>
      </c>
      <c r="F35" s="67">
        <v>22667</v>
      </c>
      <c r="G35" s="67"/>
      <c r="H35" s="67"/>
      <c r="I35" s="68"/>
      <c r="J35" s="108">
        <f>SUM(D35:I35)</f>
        <v>32291</v>
      </c>
      <c r="K35" s="68"/>
      <c r="L35" s="67">
        <v>22529</v>
      </c>
      <c r="M35" s="67"/>
      <c r="N35" s="67"/>
      <c r="O35" s="67">
        <v>32439</v>
      </c>
      <c r="P35" s="68">
        <v>20013</v>
      </c>
      <c r="Q35" s="108">
        <f>SUM(K35:P35)</f>
        <v>74981</v>
      </c>
      <c r="R35" s="109">
        <f>J35+Q35</f>
        <v>107272</v>
      </c>
      <c r="S35" s="45"/>
    </row>
    <row r="36" spans="1:19" s="46" customFormat="1" ht="13.5" customHeight="1">
      <c r="A36" s="143"/>
      <c r="B36" s="47" t="s">
        <v>28</v>
      </c>
      <c r="C36" s="48" t="s">
        <v>5</v>
      </c>
      <c r="D36" s="66"/>
      <c r="E36" s="67">
        <v>384732</v>
      </c>
      <c r="F36" s="106">
        <v>921806</v>
      </c>
      <c r="G36" s="67"/>
      <c r="H36" s="106"/>
      <c r="I36" s="68"/>
      <c r="J36" s="108">
        <f>SUM(D36:I36)</f>
        <v>1306538</v>
      </c>
      <c r="K36" s="107"/>
      <c r="L36" s="106">
        <v>1048244</v>
      </c>
      <c r="M36" s="106"/>
      <c r="N36" s="106"/>
      <c r="O36" s="106">
        <v>1349534</v>
      </c>
      <c r="P36" s="107">
        <v>861967</v>
      </c>
      <c r="Q36" s="108">
        <f>SUM(K36:P36)</f>
        <v>3259745</v>
      </c>
      <c r="R36" s="109">
        <f>J36+Q36</f>
        <v>4566283</v>
      </c>
      <c r="S36" s="45"/>
    </row>
    <row r="37" spans="1:19" s="46" customFormat="1" ht="13.5" customHeight="1" thickBot="1">
      <c r="A37" s="144"/>
      <c r="B37" s="20" t="s">
        <v>30</v>
      </c>
      <c r="C37" s="55" t="s">
        <v>6</v>
      </c>
      <c r="D37" s="65">
        <f aca="true" t="shared" si="20" ref="D37:I37">IF(D35=0,,D36/D35*1000)</f>
        <v>0</v>
      </c>
      <c r="E37" s="56">
        <f t="shared" si="20"/>
        <v>39976.30922693267</v>
      </c>
      <c r="F37" s="56">
        <f t="shared" si="20"/>
        <v>40667.313715974764</v>
      </c>
      <c r="G37" s="56">
        <f t="shared" si="20"/>
        <v>0</v>
      </c>
      <c r="H37" s="56">
        <f t="shared" si="20"/>
        <v>0</v>
      </c>
      <c r="I37" s="57">
        <f t="shared" si="20"/>
        <v>0</v>
      </c>
      <c r="J37" s="58">
        <f>(J36/J35)*1000</f>
        <v>40461.36694434982</v>
      </c>
      <c r="K37" s="57">
        <f aca="true" t="shared" si="21" ref="K37:Q37">IF(K35=0,,K36/K35*1000)</f>
        <v>0</v>
      </c>
      <c r="L37" s="56">
        <f t="shared" si="21"/>
        <v>46528.65195969639</v>
      </c>
      <c r="M37" s="56">
        <f t="shared" si="21"/>
        <v>0</v>
      </c>
      <c r="N37" s="56">
        <f t="shared" si="21"/>
        <v>0</v>
      </c>
      <c r="O37" s="56">
        <f t="shared" si="21"/>
        <v>41602.20721970467</v>
      </c>
      <c r="P37" s="57">
        <f t="shared" si="21"/>
        <v>43070.35426972468</v>
      </c>
      <c r="Q37" s="58">
        <f t="shared" si="21"/>
        <v>43474.28015097158</v>
      </c>
      <c r="R37" s="59">
        <f>(R36/R35)*1000</f>
        <v>42567.333507345815</v>
      </c>
      <c r="S37" s="60"/>
    </row>
    <row r="38" spans="1:19" s="46" customFormat="1" ht="13.5" customHeight="1">
      <c r="A38" s="142" t="s">
        <v>52</v>
      </c>
      <c r="B38" s="47" t="s">
        <v>26</v>
      </c>
      <c r="C38" s="48" t="s">
        <v>4</v>
      </c>
      <c r="D38" s="66">
        <f>4+1</f>
        <v>5</v>
      </c>
      <c r="E38" s="111"/>
      <c r="F38" s="67">
        <f>12664+13676</f>
        <v>26340</v>
      </c>
      <c r="G38" s="67">
        <f>3+18823</f>
        <v>18826</v>
      </c>
      <c r="H38" s="129">
        <f>21+22895-20</f>
        <v>22896</v>
      </c>
      <c r="I38" s="68">
        <v>3</v>
      </c>
      <c r="J38" s="131">
        <f>SUM(D38:I38)</f>
        <v>68070</v>
      </c>
      <c r="K38" s="68">
        <f>2+22592+10466</f>
        <v>33060</v>
      </c>
      <c r="L38" s="129">
        <f>44+10468-41</f>
        <v>10471</v>
      </c>
      <c r="M38" s="67">
        <v>3</v>
      </c>
      <c r="N38" s="67">
        <v>1</v>
      </c>
      <c r="O38" s="67">
        <f>3+10840</f>
        <v>10843</v>
      </c>
      <c r="P38" s="68">
        <v>1</v>
      </c>
      <c r="Q38" s="131">
        <f>SUM(K38:P38)</f>
        <v>54379</v>
      </c>
      <c r="R38" s="134">
        <f>J38+Q38</f>
        <v>122449</v>
      </c>
      <c r="S38" s="45"/>
    </row>
    <row r="39" spans="1:19" s="46" customFormat="1" ht="13.5" customHeight="1">
      <c r="A39" s="143"/>
      <c r="B39" s="47" t="s">
        <v>28</v>
      </c>
      <c r="C39" s="48" t="s">
        <v>5</v>
      </c>
      <c r="D39" s="66">
        <f>2263+2005</f>
        <v>4268</v>
      </c>
      <c r="E39" s="106"/>
      <c r="F39" s="106">
        <f>465967+2024+529619</f>
        <v>997610</v>
      </c>
      <c r="G39" s="106">
        <f>1648+728925</f>
        <v>730573</v>
      </c>
      <c r="H39" s="133">
        <f>2966+864877-2251</f>
        <v>865592</v>
      </c>
      <c r="I39" s="107">
        <v>1780</v>
      </c>
      <c r="J39" s="131">
        <f>SUM(D39:I39)</f>
        <v>2599823</v>
      </c>
      <c r="K39" s="107">
        <f>1127+1022329+478487</f>
        <v>1501943</v>
      </c>
      <c r="L39" s="133">
        <f>6105+558487-4433</f>
        <v>560159</v>
      </c>
      <c r="M39" s="106">
        <v>1610</v>
      </c>
      <c r="N39" s="106">
        <v>705</v>
      </c>
      <c r="O39" s="106">
        <f>1528+462587</f>
        <v>464115</v>
      </c>
      <c r="P39" s="107">
        <v>707</v>
      </c>
      <c r="Q39" s="131">
        <f>SUM(K39:P39)</f>
        <v>2529239</v>
      </c>
      <c r="R39" s="134">
        <f>J39+Q39</f>
        <v>5129062</v>
      </c>
      <c r="S39" s="45"/>
    </row>
    <row r="40" spans="1:19" s="46" customFormat="1" ht="13.5" customHeight="1" thickBot="1">
      <c r="A40" s="144"/>
      <c r="B40" s="20" t="s">
        <v>30</v>
      </c>
      <c r="C40" s="55" t="s">
        <v>6</v>
      </c>
      <c r="D40" s="65">
        <f>IF(D38=0,,D39/D38*1000)</f>
        <v>853600</v>
      </c>
      <c r="E40" s="56"/>
      <c r="F40" s="56">
        <f>IF(F38=0,,F39/F38*1000)</f>
        <v>37874.335611237664</v>
      </c>
      <c r="G40" s="56">
        <f>IF(G38=0,,G39/G38*1000)</f>
        <v>38806.597259109745</v>
      </c>
      <c r="H40" s="130">
        <f>IF(H38=0,,H39/H38*1000)</f>
        <v>37805.38085255066</v>
      </c>
      <c r="I40" s="57">
        <f>IF(I38=0,,I39/I38*1000)</f>
        <v>593333.3333333334</v>
      </c>
      <c r="J40" s="132">
        <f>(J39/J38)*1000</f>
        <v>38193.374467459966</v>
      </c>
      <c r="K40" s="57">
        <f aca="true" t="shared" si="22" ref="K40:Q40">IF(K38=0,,K39/K38*1000)</f>
        <v>45430.82274652148</v>
      </c>
      <c r="L40" s="130">
        <f t="shared" si="22"/>
        <v>53496.22767643969</v>
      </c>
      <c r="M40" s="56">
        <f t="shared" si="22"/>
        <v>536666.6666666666</v>
      </c>
      <c r="N40" s="56">
        <f t="shared" si="22"/>
        <v>705000</v>
      </c>
      <c r="O40" s="56">
        <f t="shared" si="22"/>
        <v>42803.190998801074</v>
      </c>
      <c r="P40" s="57">
        <f t="shared" si="22"/>
        <v>707000</v>
      </c>
      <c r="Q40" s="132">
        <f t="shared" si="22"/>
        <v>46511.31870758932</v>
      </c>
      <c r="R40" s="135">
        <f>(R39/R38)*1000</f>
        <v>41887.332685444555</v>
      </c>
      <c r="S40" s="60"/>
    </row>
    <row r="41" spans="1:19" s="46" customFormat="1" ht="18" customHeight="1">
      <c r="A41" s="142" t="s">
        <v>7</v>
      </c>
      <c r="B41" s="47" t="s">
        <v>26</v>
      </c>
      <c r="C41" s="48" t="s">
        <v>4</v>
      </c>
      <c r="D41" s="105">
        <f aca="true" t="shared" si="23" ref="D41:G42">D5+D8+D11+D14+D17+D20+D23+D26+D29+D32+D35+D38</f>
        <v>738524</v>
      </c>
      <c r="E41" s="106">
        <f t="shared" si="23"/>
        <v>916541</v>
      </c>
      <c r="F41" s="106">
        <f t="shared" si="23"/>
        <v>838702</v>
      </c>
      <c r="G41" s="106">
        <f>G5+G8+G11+G14+G17+G20+G23+G26+G29+G32+G35+G38</f>
        <v>519008</v>
      </c>
      <c r="H41" s="133">
        <f>H5+H8+H11+H14+H17+H20+H23+H26+H29+H32+H35+H38</f>
        <v>759701</v>
      </c>
      <c r="I41" s="107">
        <f>I5+I8+I11+I14+I17+I20+I23+I26+I29+I32+I35+I38</f>
        <v>673688</v>
      </c>
      <c r="J41" s="131">
        <f>SUM(D41:I41)</f>
        <v>4446164</v>
      </c>
      <c r="K41" s="107">
        <f aca="true" t="shared" si="24" ref="K41:P42">K5+K8+K11+K14+K17+K20+K23+K26+K29+K32+K35+K38</f>
        <v>717645</v>
      </c>
      <c r="L41" s="133">
        <f t="shared" si="24"/>
        <v>779278</v>
      </c>
      <c r="M41" s="106">
        <f t="shared" si="24"/>
        <v>888545</v>
      </c>
      <c r="N41" s="106">
        <f t="shared" si="24"/>
        <v>791139</v>
      </c>
      <c r="O41" s="106">
        <f t="shared" si="24"/>
        <v>964897</v>
      </c>
      <c r="P41" s="107">
        <f t="shared" si="24"/>
        <v>1005209</v>
      </c>
      <c r="Q41" s="131">
        <f>SUM(K41:P41)</f>
        <v>5146713</v>
      </c>
      <c r="R41" s="134">
        <f>J41+Q41</f>
        <v>9592877</v>
      </c>
      <c r="S41" s="54"/>
    </row>
    <row r="42" spans="1:19" s="46" customFormat="1" ht="18" customHeight="1">
      <c r="A42" s="143"/>
      <c r="B42" s="47" t="s">
        <v>28</v>
      </c>
      <c r="C42" s="48" t="s">
        <v>5</v>
      </c>
      <c r="D42" s="105">
        <f t="shared" si="23"/>
        <v>24047809</v>
      </c>
      <c r="E42" s="106">
        <f t="shared" si="23"/>
        <v>33743370</v>
      </c>
      <c r="F42" s="133">
        <f t="shared" si="23"/>
        <v>33106977</v>
      </c>
      <c r="G42" s="106">
        <f t="shared" si="23"/>
        <v>20024323</v>
      </c>
      <c r="H42" s="133">
        <f>H6+H9+H12+H15+H18+H21+H24+H27+H30+H33+H36+H39</f>
        <v>29581301</v>
      </c>
      <c r="I42" s="107">
        <f>I6+I9+I12+I15+I18+I21+I24+I27+I30+I33+I36+I39</f>
        <v>28593108</v>
      </c>
      <c r="J42" s="131">
        <f>SUM(D42:I42)</f>
        <v>169096888</v>
      </c>
      <c r="K42" s="107">
        <f t="shared" si="24"/>
        <v>33017592</v>
      </c>
      <c r="L42" s="133">
        <f t="shared" si="24"/>
        <v>38269466</v>
      </c>
      <c r="M42" s="106">
        <f t="shared" si="24"/>
        <v>43446967</v>
      </c>
      <c r="N42" s="106">
        <f t="shared" si="24"/>
        <v>36360908</v>
      </c>
      <c r="O42" s="106">
        <f t="shared" si="24"/>
        <v>40102512</v>
      </c>
      <c r="P42" s="107">
        <f t="shared" si="24"/>
        <v>42568162</v>
      </c>
      <c r="Q42" s="131">
        <f>Q6+Q9+Q12+Q15+Q18+Q21+Q24+Q27+Q30+Q33+Q36+Q39</f>
        <v>233765607</v>
      </c>
      <c r="R42" s="134">
        <f>J42+Q42</f>
        <v>402862495</v>
      </c>
      <c r="S42" s="45"/>
    </row>
    <row r="43" spans="1:19" s="46" customFormat="1" ht="18" customHeight="1" thickBot="1">
      <c r="A43" s="145"/>
      <c r="B43" s="20" t="s">
        <v>30</v>
      </c>
      <c r="C43" s="55" t="s">
        <v>6</v>
      </c>
      <c r="D43" s="65">
        <f aca="true" t="shared" si="25" ref="D43:I43">IF(D41=0,,D42/D41*1000)</f>
        <v>32561.987152753332</v>
      </c>
      <c r="E43" s="56">
        <f t="shared" si="25"/>
        <v>36815.99622930126</v>
      </c>
      <c r="F43" s="130">
        <f t="shared" si="25"/>
        <v>39474.06468566905</v>
      </c>
      <c r="G43" s="56">
        <f t="shared" si="25"/>
        <v>38581.915885689625</v>
      </c>
      <c r="H43" s="130">
        <f t="shared" si="25"/>
        <v>38938.083535496204</v>
      </c>
      <c r="I43" s="57">
        <f t="shared" si="25"/>
        <v>42442.6559475603</v>
      </c>
      <c r="J43" s="132">
        <f>(J42/J41)*1000</f>
        <v>38032.08518624145</v>
      </c>
      <c r="K43" s="57">
        <f aca="true" t="shared" si="26" ref="K43:Q43">IF(K41=0,,K42/K41*1000)</f>
        <v>46008.25199088686</v>
      </c>
      <c r="L43" s="130">
        <f t="shared" si="26"/>
        <v>49108.87513826901</v>
      </c>
      <c r="M43" s="56">
        <f t="shared" si="26"/>
        <v>48896.75480701597</v>
      </c>
      <c r="N43" s="56">
        <f t="shared" si="26"/>
        <v>45960.20168390131</v>
      </c>
      <c r="O43" s="56">
        <f t="shared" si="26"/>
        <v>41561.44334576644</v>
      </c>
      <c r="P43" s="57">
        <f t="shared" si="26"/>
        <v>42347.57348969219</v>
      </c>
      <c r="Q43" s="132">
        <f t="shared" si="26"/>
        <v>45420.36966117986</v>
      </c>
      <c r="R43" s="135">
        <f>(R42/R41)*1000</f>
        <v>41996.003388764395</v>
      </c>
      <c r="S43" s="60"/>
    </row>
    <row r="44" spans="1:19" s="46" customFormat="1" ht="24" customHeight="1" thickBot="1">
      <c r="A44" s="146" t="s">
        <v>23</v>
      </c>
      <c r="B44" s="147"/>
      <c r="C44" s="148"/>
      <c r="D44" s="85">
        <v>106.25</v>
      </c>
      <c r="E44" s="86">
        <v>110.39</v>
      </c>
      <c r="F44" s="127">
        <v>111.1</v>
      </c>
      <c r="G44" s="87">
        <v>108.75</v>
      </c>
      <c r="H44" s="90">
        <v>110.45</v>
      </c>
      <c r="I44" s="61">
        <v>109.73</v>
      </c>
      <c r="J44" s="62">
        <v>109.55</v>
      </c>
      <c r="K44" s="63">
        <v>110.29</v>
      </c>
      <c r="L44" s="112">
        <v>106.67</v>
      </c>
      <c r="M44" s="64">
        <v>103.64</v>
      </c>
      <c r="N44" s="64">
        <v>103.66</v>
      </c>
      <c r="O44" s="87">
        <v>103.83</v>
      </c>
      <c r="P44" s="88">
        <v>104.83</v>
      </c>
      <c r="Q44" s="89">
        <v>105.35</v>
      </c>
      <c r="R44" s="84">
        <v>107.34</v>
      </c>
      <c r="S44" s="45"/>
    </row>
    <row r="45" ht="15.75" customHeight="1">
      <c r="A45" s="113"/>
    </row>
  </sheetData>
  <mergeCells count="16">
    <mergeCell ref="Q3:R3"/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&amp;C&amp;20-1-</oddFooter>
  </headerFooter>
  <colBreaks count="1" manualBreakCount="1">
    <brk id="18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57421875" style="0" bestFit="1" customWidth="1"/>
    <col min="11" max="16" width="10.7109375" style="0" customWidth="1"/>
    <col min="17" max="18" width="12.140625" style="0" customWidth="1"/>
    <col min="19" max="19" width="7.140625" style="0" customWidth="1"/>
  </cols>
  <sheetData>
    <row r="2" spans="1:18" ht="27" customHeight="1">
      <c r="A2" s="17" t="s">
        <v>57</v>
      </c>
      <c r="B2" s="34" t="s">
        <v>74</v>
      </c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R2" s="2"/>
    </row>
    <row r="3" spans="1:18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57"/>
      <c r="R3" s="158"/>
    </row>
    <row r="4" spans="1:19" ht="24" customHeight="1" thickBot="1">
      <c r="A4" s="33"/>
      <c r="B4" s="4"/>
      <c r="C4" s="4"/>
      <c r="D4" s="23" t="s">
        <v>59</v>
      </c>
      <c r="E4" s="40" t="s">
        <v>60</v>
      </c>
      <c r="F4" s="40" t="s">
        <v>61</v>
      </c>
      <c r="G4" s="40" t="s">
        <v>62</v>
      </c>
      <c r="H4" s="40" t="s">
        <v>63</v>
      </c>
      <c r="I4" s="30" t="s">
        <v>64</v>
      </c>
      <c r="J4" s="27" t="s">
        <v>1</v>
      </c>
      <c r="K4" s="30" t="s">
        <v>65</v>
      </c>
      <c r="L4" s="40" t="s">
        <v>66</v>
      </c>
      <c r="M4" s="40" t="s">
        <v>67</v>
      </c>
      <c r="N4" s="40" t="s">
        <v>68</v>
      </c>
      <c r="O4" s="40" t="s">
        <v>69</v>
      </c>
      <c r="P4" s="30" t="s">
        <v>70</v>
      </c>
      <c r="Q4" s="27" t="s">
        <v>2</v>
      </c>
      <c r="R4" s="24" t="s">
        <v>3</v>
      </c>
      <c r="S4" s="5"/>
    </row>
    <row r="5" spans="1:19" ht="12.75" customHeight="1">
      <c r="A5" s="159" t="s">
        <v>56</v>
      </c>
      <c r="B5" s="15" t="s">
        <v>27</v>
      </c>
      <c r="C5" s="13" t="s">
        <v>4</v>
      </c>
      <c r="D5" s="91">
        <f>'P合計'!D5+'B合計'!D5+'液化石油ガス'!D5</f>
        <v>417023</v>
      </c>
      <c r="E5" s="92">
        <f>'P合計'!E5+'B合計'!E5+'液化石油ガス'!E5</f>
        <v>576202</v>
      </c>
      <c r="F5" s="92">
        <f>'P合計'!F5+'B合計'!F5+'液化石油ガス'!F5</f>
        <v>429290</v>
      </c>
      <c r="G5" s="92">
        <f>'P合計'!G5+'B合計'!G5+'液化石油ガス'!G5</f>
        <v>252035</v>
      </c>
      <c r="H5" s="92">
        <f>'P合計'!H5+'B合計'!H5+'液化石油ガス'!H5</f>
        <v>475505</v>
      </c>
      <c r="I5" s="93">
        <f>'P合計'!I5+'B合計'!I5+'液化石油ガス'!I5</f>
        <v>297422</v>
      </c>
      <c r="J5" s="94">
        <f>'P合計'!J5+'B合計'!J5+'液化石油ガス'!J5</f>
        <v>2447477</v>
      </c>
      <c r="K5" s="93">
        <f>'P合計'!K5+'B合計'!K5+'液化石油ガス'!K5</f>
        <v>529710</v>
      </c>
      <c r="L5" s="92">
        <f>'P合計'!L5+'B合計'!L5+'液化石油ガス'!L5</f>
        <v>397262</v>
      </c>
      <c r="M5" s="92">
        <f>'P合計'!M5+'B合計'!M5+'液化石油ガス'!M5</f>
        <v>392644</v>
      </c>
      <c r="N5" s="92">
        <f>'P合計'!N5+'B合計'!N5+'液化石油ガス'!N5</f>
        <v>442313</v>
      </c>
      <c r="O5" s="92">
        <f>'P合計'!O5+'B合計'!O5+'液化石油ガス'!O5</f>
        <v>470625</v>
      </c>
      <c r="P5" s="93">
        <f>'P合計'!P5+'B合計'!P5+'液化石油ガス'!P5</f>
        <v>530390</v>
      </c>
      <c r="Q5" s="94">
        <f>'P合計'!Q5+'B合計'!Q5+'液化石油ガス'!Q5</f>
        <v>2762944</v>
      </c>
      <c r="R5" s="95">
        <f>'P合計'!R5+'B合計'!R5+'液化石油ガス'!R5</f>
        <v>5210421</v>
      </c>
      <c r="S5" s="5"/>
    </row>
    <row r="6" spans="1:19" ht="12.75" customHeight="1">
      <c r="A6" s="160"/>
      <c r="B6" s="15" t="s">
        <v>29</v>
      </c>
      <c r="C6" s="13" t="s">
        <v>5</v>
      </c>
      <c r="D6" s="91">
        <f>'P合計'!D6+'B合計'!D6+'液化石油ガス'!D6</f>
        <v>13854734</v>
      </c>
      <c r="E6" s="92">
        <f>'P合計'!E6+'B合計'!E6+'液化石油ガス'!E6</f>
        <v>21668652</v>
      </c>
      <c r="F6" s="92">
        <f>'P合計'!F6+'B合計'!F6+'液化石油ガス'!F6</f>
        <v>17156155</v>
      </c>
      <c r="G6" s="92">
        <f>'P合計'!G6+'B合計'!G6+'液化石油ガス'!G6</f>
        <v>9868703</v>
      </c>
      <c r="H6" s="92">
        <f>'P合計'!H6+'B合計'!H6+'液化石油ガス'!H6</f>
        <v>18564226</v>
      </c>
      <c r="I6" s="93">
        <f>'P合計'!I6+'B合計'!I6+'液化石油ガス'!I6</f>
        <v>12523780</v>
      </c>
      <c r="J6" s="94">
        <f>'P合計'!J6+'B合計'!J6+'液化石油ガス'!J6</f>
        <v>93636250</v>
      </c>
      <c r="K6" s="93">
        <f>'P合計'!K6+'B合計'!K6+'液化石油ガス'!K6</f>
        <v>24511075</v>
      </c>
      <c r="L6" s="92">
        <f>'P合計'!L6+'B合計'!L6+'液化石油ガス'!L6</f>
        <v>19545646</v>
      </c>
      <c r="M6" s="92">
        <f>'P合計'!M6+'B合計'!M6+'液化石油ガス'!M6</f>
        <v>18917246</v>
      </c>
      <c r="N6" s="92">
        <f>'P合計'!N6+'B合計'!N6+'液化石油ガス'!N6</f>
        <v>20527771</v>
      </c>
      <c r="O6" s="92">
        <f>'P合計'!O6+'B合計'!O6+'液化石油ガス'!O6</f>
        <v>19553601</v>
      </c>
      <c r="P6" s="93">
        <f>'P合計'!P6+'B合計'!P6+'液化石油ガス'!P6</f>
        <v>23018018</v>
      </c>
      <c r="Q6" s="94">
        <f>'P合計'!Q6+'B合計'!Q6+'液化石油ガス'!Q6</f>
        <v>126073357</v>
      </c>
      <c r="R6" s="95">
        <f>'P合計'!R6+'B合計'!R6+'液化石油ガス'!R6</f>
        <v>219709607</v>
      </c>
      <c r="S6" s="5"/>
    </row>
    <row r="7" spans="1:19" ht="12.75" customHeight="1" thickBot="1">
      <c r="A7" s="161"/>
      <c r="B7" s="16" t="s">
        <v>31</v>
      </c>
      <c r="C7" s="14" t="s">
        <v>6</v>
      </c>
      <c r="D7" s="7">
        <f aca="true" t="shared" si="0" ref="D7:R7">IF(D5=0,"",(D6/D5)*1000)</f>
        <v>33222.9493337298</v>
      </c>
      <c r="E7" s="38">
        <f t="shared" si="0"/>
        <v>37605.99928497298</v>
      </c>
      <c r="F7" s="38">
        <f t="shared" si="0"/>
        <v>39964.021989797104</v>
      </c>
      <c r="G7" s="38">
        <f t="shared" si="0"/>
        <v>39156.08149661753</v>
      </c>
      <c r="H7" s="38">
        <f t="shared" si="0"/>
        <v>39041.07422634883</v>
      </c>
      <c r="I7" s="32">
        <f t="shared" si="0"/>
        <v>42107.779518663716</v>
      </c>
      <c r="J7" s="29">
        <f t="shared" si="0"/>
        <v>38258.275767249295</v>
      </c>
      <c r="K7" s="32">
        <f t="shared" si="0"/>
        <v>46272.63030714919</v>
      </c>
      <c r="L7" s="38">
        <f t="shared" si="0"/>
        <v>49200.89512714531</v>
      </c>
      <c r="M7" s="38">
        <f t="shared" si="0"/>
        <v>48179.12918572549</v>
      </c>
      <c r="N7" s="38">
        <f t="shared" si="0"/>
        <v>46410.05577498287</v>
      </c>
      <c r="O7" s="38">
        <f t="shared" si="0"/>
        <v>41548.156175298805</v>
      </c>
      <c r="P7" s="32">
        <f t="shared" si="0"/>
        <v>43398.288052188014</v>
      </c>
      <c r="Q7" s="29">
        <f t="shared" si="0"/>
        <v>45630.08045041811</v>
      </c>
      <c r="R7" s="26">
        <f t="shared" si="0"/>
        <v>42167.342523761516</v>
      </c>
      <c r="S7" s="5"/>
    </row>
    <row r="8" spans="1:19" ht="12.75" customHeight="1">
      <c r="A8" s="159" t="s">
        <v>34</v>
      </c>
      <c r="B8" s="15" t="s">
        <v>27</v>
      </c>
      <c r="C8" s="13" t="s">
        <v>4</v>
      </c>
      <c r="D8" s="91">
        <f>'P合計'!D8+'B合計'!D8+'液化石油ガス'!D8</f>
        <v>178582</v>
      </c>
      <c r="E8" s="92">
        <f>'P合計'!E8+'B合計'!E8+'液化石油ガス'!E8</f>
        <v>139800</v>
      </c>
      <c r="F8" s="92">
        <f>'P合計'!F8+'B合計'!F8+'液化石油ガス'!F8</f>
        <v>172006</v>
      </c>
      <c r="G8" s="92">
        <f>'P合計'!G8+'B合計'!G8+'液化石油ガス'!G8</f>
        <v>87139</v>
      </c>
      <c r="H8" s="92">
        <f>'P合計'!H8+'B合計'!H8+'液化石油ガス'!H8</f>
        <v>147876</v>
      </c>
      <c r="I8" s="93">
        <f>'P合計'!I8+'B合計'!I8+'液化石油ガス'!I8</f>
        <v>150977</v>
      </c>
      <c r="J8" s="94">
        <f>'P合計'!J8+'B合計'!J8+'液化石油ガス'!J8</f>
        <v>876380</v>
      </c>
      <c r="K8" s="93">
        <f>'P合計'!K8+'B合計'!K8+'液化石油ガス'!K8</f>
        <v>87877</v>
      </c>
      <c r="L8" s="92">
        <f>'P合計'!L8+'B合計'!L8+'液化石油ガス'!L8</f>
        <v>105502</v>
      </c>
      <c r="M8" s="92">
        <f>'P合計'!M8+'B合計'!M8+'液化石油ガス'!M8</f>
        <v>100987</v>
      </c>
      <c r="N8" s="92">
        <f>'P合計'!N8+'B合計'!N8+'液化石油ガス'!N8</f>
        <v>138147</v>
      </c>
      <c r="O8" s="92">
        <f>'P合計'!O8+'B合計'!O8+'液化石油ガス'!O8</f>
        <v>161283</v>
      </c>
      <c r="P8" s="93">
        <f>'P合計'!P8+'B合計'!P8+'液化石油ガス'!P8</f>
        <v>82175</v>
      </c>
      <c r="Q8" s="94">
        <f>'P合計'!Q8+'B合計'!Q8+'液化石油ガス'!Q8</f>
        <v>675971</v>
      </c>
      <c r="R8" s="95">
        <f>'P合計'!R8+'B合計'!R8+'液化石油ガス'!R8</f>
        <v>1552351</v>
      </c>
      <c r="S8" s="5"/>
    </row>
    <row r="9" spans="1:19" ht="12.75" customHeight="1">
      <c r="A9" s="160"/>
      <c r="B9" s="15" t="s">
        <v>29</v>
      </c>
      <c r="C9" s="13" t="s">
        <v>5</v>
      </c>
      <c r="D9" s="91">
        <f>'P合計'!D9+'B合計'!D9+'液化石油ガス'!D9</f>
        <v>5713760</v>
      </c>
      <c r="E9" s="92">
        <f>'P合計'!E9+'B合計'!E9+'液化石油ガス'!E9</f>
        <v>4990966</v>
      </c>
      <c r="F9" s="136">
        <f>'P合計'!F9+'B合計'!F9+'液化石油ガス'!F9</f>
        <v>6770157</v>
      </c>
      <c r="G9" s="92">
        <f>'P合計'!G9+'B合計'!G9+'液化石油ガス'!G9</f>
        <v>3440606</v>
      </c>
      <c r="H9" s="92">
        <f>'P合計'!H9+'B合計'!H9+'液化石油ガス'!H9</f>
        <v>5799029</v>
      </c>
      <c r="I9" s="93">
        <f>'P合計'!I9+'B合計'!I9+'液化石油ガス'!I9</f>
        <v>6228896</v>
      </c>
      <c r="J9" s="138">
        <f>'P合計'!J9+'B合計'!J9+'液化石油ガス'!J9</f>
        <v>32943414</v>
      </c>
      <c r="K9" s="93">
        <f>'P合計'!K9+'B合計'!K9+'液化石油ガス'!K9</f>
        <v>4041065</v>
      </c>
      <c r="L9" s="92">
        <f>'P合計'!L9+'B合計'!L9+'液化石油ガス'!L9</f>
        <v>5022333</v>
      </c>
      <c r="M9" s="92">
        <f>'P合計'!M9+'B合計'!M9+'液化石油ガス'!M9</f>
        <v>5083049</v>
      </c>
      <c r="N9" s="92">
        <f>'P合計'!N9+'B合計'!N9+'液化石油ガス'!N9</f>
        <v>6288102</v>
      </c>
      <c r="O9" s="92">
        <f>'P合計'!O9+'B合計'!O9+'液化石油ガス'!O9</f>
        <v>6810978</v>
      </c>
      <c r="P9" s="93">
        <f>'P合計'!P9+'B合計'!P9+'液化石油ガス'!P9</f>
        <v>3409820</v>
      </c>
      <c r="Q9" s="94">
        <f>'P合計'!Q9+'B合計'!Q9+'液化石油ガス'!Q9</f>
        <v>30655347</v>
      </c>
      <c r="R9" s="140">
        <f>'P合計'!R9+'B合計'!R9+'液化石油ガス'!R9</f>
        <v>63598761</v>
      </c>
      <c r="S9" s="5"/>
    </row>
    <row r="10" spans="1:19" ht="12.75" customHeight="1" thickBot="1">
      <c r="A10" s="161"/>
      <c r="B10" s="16" t="s">
        <v>31</v>
      </c>
      <c r="C10" s="14" t="s">
        <v>6</v>
      </c>
      <c r="D10" s="7">
        <f aca="true" t="shared" si="1" ref="D10:R10">IF(D8=0,"",(D9/D8)*1000)</f>
        <v>31995.161886416325</v>
      </c>
      <c r="E10" s="38">
        <f t="shared" si="1"/>
        <v>35700.75822603719</v>
      </c>
      <c r="F10" s="137">
        <f t="shared" si="1"/>
        <v>39360.00488355057</v>
      </c>
      <c r="G10" s="38">
        <f t="shared" si="1"/>
        <v>39484.111591824556</v>
      </c>
      <c r="H10" s="38">
        <f t="shared" si="1"/>
        <v>39215.48459520138</v>
      </c>
      <c r="I10" s="32">
        <f t="shared" si="1"/>
        <v>41257.25110447287</v>
      </c>
      <c r="J10" s="139">
        <f t="shared" si="1"/>
        <v>37590.33067847281</v>
      </c>
      <c r="K10" s="32">
        <f t="shared" si="1"/>
        <v>45985.46832504523</v>
      </c>
      <c r="L10" s="38">
        <f t="shared" si="1"/>
        <v>47604.14968436617</v>
      </c>
      <c r="M10" s="38">
        <f t="shared" si="1"/>
        <v>50333.696416370425</v>
      </c>
      <c r="N10" s="38">
        <f t="shared" si="1"/>
        <v>45517.47052053248</v>
      </c>
      <c r="O10" s="38">
        <f t="shared" si="1"/>
        <v>42229.980841130186</v>
      </c>
      <c r="P10" s="32">
        <f t="shared" si="1"/>
        <v>41494.61515059325</v>
      </c>
      <c r="Q10" s="29">
        <f t="shared" si="1"/>
        <v>45350.09194181407</v>
      </c>
      <c r="R10" s="141">
        <f t="shared" si="1"/>
        <v>40969.31750615679</v>
      </c>
      <c r="S10" s="5"/>
    </row>
    <row r="11" spans="1:19" ht="12.75" customHeight="1">
      <c r="A11" s="159" t="s">
        <v>36</v>
      </c>
      <c r="B11" s="15" t="s">
        <v>27</v>
      </c>
      <c r="C11" s="13" t="s">
        <v>4</v>
      </c>
      <c r="D11" s="91">
        <f>'P合計'!D11+'B合計'!D11+'液化石油ガス'!D11</f>
        <v>0</v>
      </c>
      <c r="E11" s="92">
        <f>'P合計'!E11+'B合計'!E11+'液化石油ガス'!E11</f>
        <v>18179</v>
      </c>
      <c r="F11" s="92">
        <f>'P合計'!F11+'B合計'!F11+'液化石油ガス'!F11</f>
        <v>69299</v>
      </c>
      <c r="G11" s="92">
        <f>'P合計'!G11+'B合計'!G11+'液化石油ガス'!G11</f>
        <v>25320</v>
      </c>
      <c r="H11" s="92">
        <f>'P合計'!H11+'B合計'!H11+'液化石油ガス'!H11</f>
        <v>46931</v>
      </c>
      <c r="I11" s="93">
        <f>'P合計'!I11+'B合計'!I11+'液化石油ガス'!I11</f>
        <v>45043</v>
      </c>
      <c r="J11" s="94">
        <f>'P合計'!J11+'B合計'!J11+'液化石油ガス'!J11</f>
        <v>204772</v>
      </c>
      <c r="K11" s="93">
        <f>'P合計'!K11+'B合計'!K11+'液化石油ガス'!K11</f>
        <v>15999</v>
      </c>
      <c r="L11" s="92">
        <f>'P合計'!L11+'B合計'!L11+'液化石油ガス'!L11</f>
        <v>46869</v>
      </c>
      <c r="M11" s="92">
        <f>'P合計'!M11+'B合計'!M11+'液化石油ガス'!M11</f>
        <v>43141</v>
      </c>
      <c r="N11" s="92">
        <f>'P合計'!N11+'B合計'!N11+'液化石油ガス'!N11</f>
        <v>54963</v>
      </c>
      <c r="O11" s="92">
        <f>'P合計'!O11+'B合計'!O11+'液化石油ガス'!O11</f>
        <v>81332</v>
      </c>
      <c r="P11" s="93">
        <f>'P合計'!P11+'B合計'!P11+'液化石油ガス'!P11</f>
        <v>57004</v>
      </c>
      <c r="Q11" s="94">
        <f>'P合計'!Q11+'B合計'!Q11+'液化石油ガス'!Q11</f>
        <v>299308</v>
      </c>
      <c r="R11" s="95">
        <f>'P合計'!R11+'B合計'!R11+'液化石油ガス'!R11</f>
        <v>504080</v>
      </c>
      <c r="S11" s="5"/>
    </row>
    <row r="12" spans="1:19" ht="12.75" customHeight="1">
      <c r="A12" s="160"/>
      <c r="B12" s="15" t="s">
        <v>29</v>
      </c>
      <c r="C12" s="13" t="s">
        <v>5</v>
      </c>
      <c r="D12" s="91">
        <f>'P合計'!D12+'B合計'!D12+'液化石油ガス'!D12</f>
        <v>0</v>
      </c>
      <c r="E12" s="92">
        <f>'P合計'!E12+'B合計'!E12+'液化石油ガス'!E12</f>
        <v>644465</v>
      </c>
      <c r="F12" s="92">
        <f>'P合計'!F12+'B合計'!F12+'液化石油ガス'!F12</f>
        <v>2704976</v>
      </c>
      <c r="G12" s="92">
        <f>'P合計'!G12+'B合計'!G12+'液化石油ガス'!G12</f>
        <v>960063</v>
      </c>
      <c r="H12" s="92">
        <f>'P合計'!H12+'B合計'!H12+'液化石油ガス'!H12</f>
        <v>1783060</v>
      </c>
      <c r="I12" s="93">
        <f>'P合計'!I12+'B合計'!I12+'液化石油ガス'!I12</f>
        <v>1948203</v>
      </c>
      <c r="J12" s="94">
        <f>'P合計'!J12+'B合計'!J12+'液化石油ガス'!J12</f>
        <v>8040767</v>
      </c>
      <c r="K12" s="93">
        <f>'P合計'!K12+'B合計'!K12+'液化石油ガス'!K12</f>
        <v>727674</v>
      </c>
      <c r="L12" s="92">
        <f>'P合計'!L12+'B合計'!L12+'液化石油ガス'!L12</f>
        <v>2373343</v>
      </c>
      <c r="M12" s="92">
        <f>'P合計'!M12+'B合計'!M12+'液化石油ガス'!M12</f>
        <v>2250683</v>
      </c>
      <c r="N12" s="92">
        <f>'P合計'!N12+'B合計'!N12+'液化石油ガス'!N12</f>
        <v>2681342</v>
      </c>
      <c r="O12" s="92">
        <f>'P合計'!O12+'B合計'!O12+'液化石油ガス'!O12</f>
        <v>3408608</v>
      </c>
      <c r="P12" s="93">
        <f>'P合計'!P12+'B合計'!P12+'液化石油ガス'!P12</f>
        <v>2439297</v>
      </c>
      <c r="Q12" s="94">
        <f>'P合計'!Q12+'B合計'!Q12+'液化石油ガス'!Q12</f>
        <v>13880947</v>
      </c>
      <c r="R12" s="95">
        <f>'P合計'!R12+'B合計'!R12+'液化石油ガス'!R12</f>
        <v>21921714</v>
      </c>
      <c r="S12" s="5"/>
    </row>
    <row r="13" spans="1:19" ht="12.75" customHeight="1" thickBot="1">
      <c r="A13" s="161"/>
      <c r="B13" s="16" t="s">
        <v>31</v>
      </c>
      <c r="C13" s="14" t="s">
        <v>6</v>
      </c>
      <c r="D13" s="7">
        <f aca="true" t="shared" si="2" ref="D13:R13">IF(D11=0,"",(D12/D11)*1000)</f>
      </c>
      <c r="E13" s="38">
        <f t="shared" si="2"/>
        <v>35451.06991583695</v>
      </c>
      <c r="F13" s="38">
        <f t="shared" si="2"/>
        <v>39033.40596545405</v>
      </c>
      <c r="G13" s="38">
        <f t="shared" si="2"/>
        <v>37917.18009478673</v>
      </c>
      <c r="H13" s="38">
        <f t="shared" si="2"/>
        <v>37993.2240949479</v>
      </c>
      <c r="I13" s="32">
        <f t="shared" si="2"/>
        <v>43252.070243989074</v>
      </c>
      <c r="J13" s="29">
        <f t="shared" si="2"/>
        <v>39266.926142246004</v>
      </c>
      <c r="K13" s="32">
        <f t="shared" si="2"/>
        <v>45482.467654228385</v>
      </c>
      <c r="L13" s="38">
        <f t="shared" si="2"/>
        <v>50637.7989716017</v>
      </c>
      <c r="M13" s="38">
        <f t="shared" si="2"/>
        <v>52170.39475209198</v>
      </c>
      <c r="N13" s="38">
        <f t="shared" si="2"/>
        <v>48784.491385113615</v>
      </c>
      <c r="O13" s="38">
        <f t="shared" si="2"/>
        <v>41909.801800029505</v>
      </c>
      <c r="P13" s="32">
        <f t="shared" si="2"/>
        <v>42791.681285523824</v>
      </c>
      <c r="Q13" s="29">
        <f t="shared" si="2"/>
        <v>46376.79915003943</v>
      </c>
      <c r="R13" s="26">
        <f t="shared" si="2"/>
        <v>43488.561339469925</v>
      </c>
      <c r="S13" s="5"/>
    </row>
    <row r="14" spans="1:19" ht="12.75" customHeight="1">
      <c r="A14" s="159" t="s">
        <v>38</v>
      </c>
      <c r="B14" s="15" t="s">
        <v>27</v>
      </c>
      <c r="C14" s="13" t="s">
        <v>4</v>
      </c>
      <c r="D14" s="6">
        <f>'P合計'!D14+'B合計'!D14+'液化石油ガス'!D14</f>
        <v>0</v>
      </c>
      <c r="E14" s="37">
        <f>'P合計'!E14+'B合計'!E14+'液化石油ガス'!E14</f>
        <v>0</v>
      </c>
      <c r="F14" s="37">
        <f>'P合計'!F14+'B合計'!F14+'液化石油ガス'!F14</f>
        <v>0</v>
      </c>
      <c r="G14" s="37">
        <f>'P合計'!G14+'B合計'!G14+'液化石油ガス'!G14</f>
        <v>0</v>
      </c>
      <c r="H14" s="37">
        <f>'P合計'!H14+'B合計'!H14+'液化石油ガス'!H14</f>
        <v>0</v>
      </c>
      <c r="I14" s="31">
        <f>'P合計'!I14+'B合計'!I14+'液化石油ガス'!I14</f>
        <v>0</v>
      </c>
      <c r="J14" s="28">
        <f>'P合計'!J14+'B合計'!J14+'液化石油ガス'!J14</f>
        <v>0</v>
      </c>
      <c r="K14" s="31">
        <f>'P合計'!K14+'B合計'!K14+'液化石油ガス'!K14</f>
        <v>0</v>
      </c>
      <c r="L14" s="37">
        <f>'P合計'!L14+'B合計'!L14+'液化石油ガス'!L14</f>
        <v>0</v>
      </c>
      <c r="M14" s="37">
        <f>'P合計'!M14+'B合計'!M14+'液化石油ガス'!M14</f>
        <v>0</v>
      </c>
      <c r="N14" s="37">
        <f>'P合計'!N14+'B合計'!N14+'液化石油ガス'!N14</f>
        <v>0</v>
      </c>
      <c r="O14" s="37">
        <f>'P合計'!O14+'B合計'!O14+'液化石油ガス'!O14</f>
        <v>0</v>
      </c>
      <c r="P14" s="31">
        <f>'P合計'!P14+'B合計'!P14+'液化石油ガス'!P14</f>
        <v>0</v>
      </c>
      <c r="Q14" s="28">
        <f>'P合計'!Q14+'B合計'!Q14+'液化石油ガス'!Q14</f>
        <v>0</v>
      </c>
      <c r="R14" s="25">
        <f>'P合計'!R14+'B合計'!R14+'液化石油ガス'!R14</f>
        <v>0</v>
      </c>
      <c r="S14" s="5"/>
    </row>
    <row r="15" spans="1:19" ht="12.75" customHeight="1">
      <c r="A15" s="160"/>
      <c r="B15" s="15" t="s">
        <v>29</v>
      </c>
      <c r="C15" s="13" t="s">
        <v>5</v>
      </c>
      <c r="D15" s="6">
        <f>'P合計'!D15+'B合計'!D15+'液化石油ガス'!D15</f>
        <v>0</v>
      </c>
      <c r="E15" s="37">
        <f>'P合計'!E15+'B合計'!E15+'液化石油ガス'!E15</f>
        <v>0</v>
      </c>
      <c r="F15" s="37">
        <f>'P合計'!F15+'B合計'!F15+'液化石油ガス'!F15</f>
        <v>0</v>
      </c>
      <c r="G15" s="37">
        <f>'P合計'!G15+'B合計'!G15+'液化石油ガス'!G15</f>
        <v>0</v>
      </c>
      <c r="H15" s="37">
        <f>'P合計'!H15+'B合計'!H15+'液化石油ガス'!H15</f>
        <v>0</v>
      </c>
      <c r="I15" s="31">
        <f>'P合計'!I15+'B合計'!I15+'液化石油ガス'!I15</f>
        <v>0</v>
      </c>
      <c r="J15" s="28">
        <f>'P合計'!J15+'B合計'!J15+'液化石油ガス'!J15</f>
        <v>0</v>
      </c>
      <c r="K15" s="31">
        <f>'P合計'!K15+'B合計'!K15+'液化石油ガス'!K15</f>
        <v>0</v>
      </c>
      <c r="L15" s="37">
        <f>'P合計'!L15+'B合計'!L15+'液化石油ガス'!L15</f>
        <v>0</v>
      </c>
      <c r="M15" s="37">
        <f>'P合計'!M15+'B合計'!M15+'液化石油ガス'!M15</f>
        <v>0</v>
      </c>
      <c r="N15" s="37">
        <f>'P合計'!N15+'B合計'!N15+'液化石油ガス'!N15</f>
        <v>0</v>
      </c>
      <c r="O15" s="37">
        <f>'P合計'!O15+'B合計'!O15+'液化石油ガス'!O15</f>
        <v>0</v>
      </c>
      <c r="P15" s="31">
        <f>'P合計'!P15+'B合計'!P15+'液化石油ガス'!P15</f>
        <v>0</v>
      </c>
      <c r="Q15" s="28">
        <f>'P合計'!Q15+'B合計'!Q15+'液化石油ガス'!Q15</f>
        <v>0</v>
      </c>
      <c r="R15" s="25">
        <f>'P合計'!R15+'B合計'!R15+'液化石油ガス'!R15</f>
        <v>0</v>
      </c>
      <c r="S15" s="5"/>
    </row>
    <row r="16" spans="1:19" ht="12.75" customHeight="1" thickBot="1">
      <c r="A16" s="161"/>
      <c r="B16" s="16" t="s">
        <v>31</v>
      </c>
      <c r="C16" s="14" t="s">
        <v>6</v>
      </c>
      <c r="D16" s="7">
        <f aca="true" t="shared" si="3" ref="D16:R16">IF(D14=0,"",(D15/D14)*1000)</f>
      </c>
      <c r="E16" s="38">
        <f t="shared" si="3"/>
      </c>
      <c r="F16" s="38">
        <f t="shared" si="3"/>
      </c>
      <c r="G16" s="38">
        <f t="shared" si="3"/>
      </c>
      <c r="H16" s="38">
        <f t="shared" si="3"/>
      </c>
      <c r="I16" s="32">
        <f t="shared" si="3"/>
      </c>
      <c r="J16" s="29">
        <f t="shared" si="3"/>
      </c>
      <c r="K16" s="32">
        <f t="shared" si="3"/>
      </c>
      <c r="L16" s="38">
        <f t="shared" si="3"/>
      </c>
      <c r="M16" s="38">
        <f t="shared" si="3"/>
      </c>
      <c r="N16" s="38">
        <f t="shared" si="3"/>
      </c>
      <c r="O16" s="38">
        <f t="shared" si="3"/>
      </c>
      <c r="P16" s="32">
        <f t="shared" si="3"/>
      </c>
      <c r="Q16" s="29">
        <f t="shared" si="3"/>
      </c>
      <c r="R16" s="26">
        <f t="shared" si="3"/>
      </c>
      <c r="S16" s="5"/>
    </row>
    <row r="17" spans="1:19" ht="12.75" customHeight="1">
      <c r="A17" s="159" t="s">
        <v>40</v>
      </c>
      <c r="B17" s="15" t="s">
        <v>27</v>
      </c>
      <c r="C17" s="13" t="s">
        <v>4</v>
      </c>
      <c r="D17" s="91">
        <f>'P合計'!D17+'B合計'!D17+'液化石油ガス'!D17</f>
        <v>48386</v>
      </c>
      <c r="E17" s="92">
        <f>'P合計'!E17+'B合計'!E17+'液化石油ガス'!E17</f>
        <v>171042</v>
      </c>
      <c r="F17" s="92">
        <f>'P合計'!F17+'B合計'!F17+'液化石油ガス'!F17</f>
        <v>95971</v>
      </c>
      <c r="G17" s="92">
        <f>'P合計'!G17+'B合計'!G17+'液化石油ガス'!G17</f>
        <v>68399</v>
      </c>
      <c r="H17" s="92">
        <f>'P合計'!H17+'B合計'!H17+'液化石油ガス'!H17</f>
        <v>80701</v>
      </c>
      <c r="I17" s="93">
        <f>'P合計'!I17+'B合計'!I17+'液化石油ガス'!I17</f>
        <v>106131</v>
      </c>
      <c r="J17" s="94">
        <f>'P合計'!J17+'B合計'!J17+'液化石油ガス'!J17</f>
        <v>570630</v>
      </c>
      <c r="K17" s="93">
        <f>'P合計'!K17+'B合計'!K17+'液化石油ガス'!K17</f>
        <v>73467</v>
      </c>
      <c r="L17" s="92">
        <f>'P合計'!L17+'B合計'!L17+'液化石油ガス'!L17</f>
        <v>168418</v>
      </c>
      <c r="M17" s="92">
        <f>'P合計'!M17+'B合計'!M17+'液化石油ガス'!M17</f>
        <v>157287</v>
      </c>
      <c r="N17" s="92">
        <f>'P合計'!N17+'B合計'!N17+'液化石油ガス'!N17</f>
        <v>121008</v>
      </c>
      <c r="O17" s="92">
        <f>'P合計'!O17+'B合計'!O17+'液化石油ガス'!O17</f>
        <v>70476</v>
      </c>
      <c r="P17" s="93">
        <f>'P合計'!P17+'B合計'!P17+'液化石油ガス'!P17</f>
        <v>237552</v>
      </c>
      <c r="Q17" s="94">
        <f>'P合計'!Q17+'B合計'!Q17+'液化石油ガス'!Q17</f>
        <v>828208</v>
      </c>
      <c r="R17" s="95">
        <f>'P合計'!R17+'B合計'!R17+'液化石油ガス'!R17</f>
        <v>1398838</v>
      </c>
      <c r="S17" s="5"/>
    </row>
    <row r="18" spans="1:19" ht="12.75" customHeight="1">
      <c r="A18" s="160"/>
      <c r="B18" s="15" t="s">
        <v>29</v>
      </c>
      <c r="C18" s="13" t="s">
        <v>5</v>
      </c>
      <c r="D18" s="91">
        <f>'P合計'!D18+'B合計'!D18+'液化石油ガス'!D18</f>
        <v>1568421</v>
      </c>
      <c r="E18" s="92">
        <f>'P合計'!E18+'B合計'!E18+'液化石油ガス'!E18</f>
        <v>6207260</v>
      </c>
      <c r="F18" s="92">
        <f>'P合計'!F18+'B合計'!F18+'液化石油ガス'!F18</f>
        <v>3710265</v>
      </c>
      <c r="G18" s="92">
        <f>'P合計'!G18+'B合計'!G18+'液化石油ガス'!G18</f>
        <v>2633756</v>
      </c>
      <c r="H18" s="92">
        <f>'P合計'!H18+'B合計'!H18+'液化石油ガス'!H18</f>
        <v>3180653</v>
      </c>
      <c r="I18" s="93">
        <f>'P合計'!I18+'B合計'!I18+'液化石油ガス'!I18</f>
        <v>4555061</v>
      </c>
      <c r="J18" s="94">
        <f>'P合計'!J18+'B合計'!J18+'液化石油ガス'!J18</f>
        <v>21855416</v>
      </c>
      <c r="K18" s="93">
        <f>'P合計'!K18+'B合計'!K18+'液化石油ガス'!K18</f>
        <v>3406043</v>
      </c>
      <c r="L18" s="92">
        <f>'P合計'!L18+'B合計'!L18+'液化石油ガス'!L18</f>
        <v>8188891</v>
      </c>
      <c r="M18" s="92">
        <f>'P合計'!M18+'B合計'!M18+'液化石油ガス'!M18</f>
        <v>7690495</v>
      </c>
      <c r="N18" s="92">
        <f>'P合計'!N18+'B合計'!N18+'液化石油ガス'!N18</f>
        <v>5597628</v>
      </c>
      <c r="O18" s="92">
        <f>'P合計'!O18+'B合計'!O18+'液化石油ガス'!O18</f>
        <v>2960264</v>
      </c>
      <c r="P18" s="93">
        <f>'P合計'!P18+'B合計'!P18+'液化石油ガス'!P18</f>
        <v>10138506</v>
      </c>
      <c r="Q18" s="94">
        <f>'P合計'!Q18+'B合計'!Q18+'液化石油ガス'!Q18</f>
        <v>37981827</v>
      </c>
      <c r="R18" s="95">
        <f>'P合計'!R18+'B合計'!R18+'液化石油ガス'!R18</f>
        <v>59837243</v>
      </c>
      <c r="S18" s="5"/>
    </row>
    <row r="19" spans="1:19" ht="12.75" customHeight="1" thickBot="1">
      <c r="A19" s="161"/>
      <c r="B19" s="16" t="s">
        <v>31</v>
      </c>
      <c r="C19" s="14" t="s">
        <v>6</v>
      </c>
      <c r="D19" s="7">
        <f aca="true" t="shared" si="4" ref="D19:R19">IF(D17=0,"",(D18/D17)*1000)</f>
        <v>32414.768734757985</v>
      </c>
      <c r="E19" s="38">
        <f t="shared" si="4"/>
        <v>36290.852539142434</v>
      </c>
      <c r="F19" s="38">
        <f t="shared" si="4"/>
        <v>38660.272373946296</v>
      </c>
      <c r="G19" s="38">
        <f t="shared" si="4"/>
        <v>38505.767628181704</v>
      </c>
      <c r="H19" s="38">
        <f t="shared" si="4"/>
        <v>39412.80777189873</v>
      </c>
      <c r="I19" s="32">
        <f t="shared" si="4"/>
        <v>42919.23189266096</v>
      </c>
      <c r="J19" s="29">
        <f t="shared" si="4"/>
        <v>38300.502952876646</v>
      </c>
      <c r="K19" s="32">
        <f t="shared" si="4"/>
        <v>46361.53647215757</v>
      </c>
      <c r="L19" s="38">
        <f t="shared" si="4"/>
        <v>48622.42159389139</v>
      </c>
      <c r="M19" s="38">
        <f t="shared" si="4"/>
        <v>48894.66389466389</v>
      </c>
      <c r="N19" s="38">
        <f t="shared" si="4"/>
        <v>46258.33002776676</v>
      </c>
      <c r="O19" s="38">
        <f t="shared" si="4"/>
        <v>42003.859469890456</v>
      </c>
      <c r="P19" s="32">
        <f t="shared" si="4"/>
        <v>42679.1018387553</v>
      </c>
      <c r="Q19" s="29">
        <f t="shared" si="4"/>
        <v>45860.25128953114</v>
      </c>
      <c r="R19" s="26">
        <f t="shared" si="4"/>
        <v>42776.39226272092</v>
      </c>
      <c r="S19" s="5"/>
    </row>
    <row r="20" spans="1:19" ht="12.75" customHeight="1">
      <c r="A20" s="169" t="s">
        <v>58</v>
      </c>
      <c r="B20" s="15" t="s">
        <v>27</v>
      </c>
      <c r="C20" s="13" t="s">
        <v>4</v>
      </c>
      <c r="D20" s="91">
        <f>'P合計'!D20+'B合計'!D20+'液化石油ガス'!D20</f>
        <v>180444</v>
      </c>
      <c r="E20" s="92">
        <f>'P合計'!E20+'B合計'!E20+'液化石油ガス'!E20</f>
        <v>185065</v>
      </c>
      <c r="F20" s="92">
        <f>'P合計'!F20+'B合計'!F20+'液化石油ガス'!F20</f>
        <v>245122</v>
      </c>
      <c r="G20" s="92">
        <f>'P合計'!G20+'B合計'!G20+'液化石油ガス'!G20</f>
        <v>179245</v>
      </c>
      <c r="H20" s="92">
        <f>'P合計'!H20+'B合計'!H20+'液化石油ガス'!H20</f>
        <v>278682</v>
      </c>
      <c r="I20" s="93">
        <f>'P合計'!I20+'B合計'!I20+'液化石油ガス'!I20</f>
        <v>264114</v>
      </c>
      <c r="J20" s="94">
        <f>'P合計'!J20+'B合計'!J20+'液化石油ガス'!J20</f>
        <v>1332672</v>
      </c>
      <c r="K20" s="93">
        <f>'P合計'!K20+'B合計'!K20+'液化石油ガス'!K20</f>
        <v>120124</v>
      </c>
      <c r="L20" s="92">
        <f>'P合計'!L20+'B合計'!L20+'液化石油ガス'!L20</f>
        <v>287946</v>
      </c>
      <c r="M20" s="92">
        <f>'P合計'!M20+'B合計'!M20+'液化石油ガス'!M20</f>
        <v>325172</v>
      </c>
      <c r="N20" s="92">
        <f>'P合計'!N20+'B合計'!N20+'液化石油ガス'!N20</f>
        <v>151801</v>
      </c>
      <c r="O20" s="92">
        <f>'P合計'!O20+'B合計'!O20+'液化石油ガス'!O20</f>
        <v>262065</v>
      </c>
      <c r="P20" s="93">
        <f>'P合計'!P20+'B合計'!P20+'液化石油ガス'!P20</f>
        <v>272474</v>
      </c>
      <c r="Q20" s="94">
        <f>'P合計'!Q20+'B合計'!Q20+'液化石油ガス'!Q20</f>
        <v>1419582</v>
      </c>
      <c r="R20" s="95">
        <f>'P合計'!R20+'B合計'!R20+'液化石油ガス'!R20</f>
        <v>2752254</v>
      </c>
      <c r="S20" s="5"/>
    </row>
    <row r="21" spans="1:19" ht="12.75" customHeight="1">
      <c r="A21" s="170"/>
      <c r="B21" s="15" t="s">
        <v>29</v>
      </c>
      <c r="C21" s="13" t="s">
        <v>5</v>
      </c>
      <c r="D21" s="91">
        <f>'P合計'!D21+'B合計'!D21+'液化石油ガス'!D21</f>
        <v>5541431</v>
      </c>
      <c r="E21" s="92">
        <f>'P合計'!E21+'B合計'!E21+'液化石油ガス'!E21</f>
        <v>6720188</v>
      </c>
      <c r="F21" s="92">
        <f>'P合計'!F21+'B合計'!F21+'液化石油ガス'!F21</f>
        <v>9888456</v>
      </c>
      <c r="G21" s="136">
        <f>'P合計'!G21+'B合計'!G21+'液化石油ガス'!G21</f>
        <v>7009149</v>
      </c>
      <c r="H21" s="92">
        <f>'P合計'!H21+'B合計'!H21+'液化石油ガス'!H21</f>
        <v>11102597</v>
      </c>
      <c r="I21" s="93">
        <f>'P合計'!I21+'B合計'!I21+'液化石油ガス'!I21</f>
        <v>11459913</v>
      </c>
      <c r="J21" s="138">
        <f>'P合計'!J21+'B合計'!J21+'液化石油ガス'!J21</f>
        <v>51721734</v>
      </c>
      <c r="K21" s="93">
        <f>'P合計'!K21+'B合計'!K21+'液化石油ガス'!K21</f>
        <v>5454910</v>
      </c>
      <c r="L21" s="92">
        <f>'P合計'!L21+'B合計'!L21+'液化石油ガス'!L21</f>
        <v>14208676</v>
      </c>
      <c r="M21" s="92">
        <f>'P合計'!M21+'B合計'!M21+'液化石油ガス'!M21</f>
        <v>16255007</v>
      </c>
      <c r="N21" s="92">
        <f>'P合計'!N21+'B合計'!N21+'液化石油ガス'!N21</f>
        <v>7039407</v>
      </c>
      <c r="O21" s="92">
        <f>'P合計'!O21+'B合計'!O21+'液化石油ガス'!O21</f>
        <v>10952990</v>
      </c>
      <c r="P21" s="93">
        <f>'P合計'!P21+'B合計'!P21+'液化石油ガス'!P21</f>
        <v>10934999</v>
      </c>
      <c r="Q21" s="94">
        <f>'P合計'!Q21+'B合計'!Q21+'液化石油ガス'!Q21</f>
        <v>64845989</v>
      </c>
      <c r="R21" s="140">
        <f>'P合計'!R21+'B合計'!R21+'液化石油ガス'!R21</f>
        <v>116567723</v>
      </c>
      <c r="S21" s="5"/>
    </row>
    <row r="22" spans="1:19" ht="12.75" customHeight="1" thickBot="1">
      <c r="A22" s="171"/>
      <c r="B22" s="16" t="s">
        <v>31</v>
      </c>
      <c r="C22" s="14" t="s">
        <v>6</v>
      </c>
      <c r="D22" s="7">
        <f aca="true" t="shared" si="5" ref="D22:R22">IF(D20=0,"",(D21/D20)*1000)</f>
        <v>30709.97650240518</v>
      </c>
      <c r="E22" s="38">
        <f t="shared" si="5"/>
        <v>36312.58206576068</v>
      </c>
      <c r="F22" s="38">
        <f t="shared" si="5"/>
        <v>40340.95674806831</v>
      </c>
      <c r="G22" s="137">
        <f t="shared" si="5"/>
        <v>39103.735111160706</v>
      </c>
      <c r="H22" s="38">
        <f t="shared" si="5"/>
        <v>39839.66312858384</v>
      </c>
      <c r="I22" s="32">
        <f t="shared" si="5"/>
        <v>43390.024762034576</v>
      </c>
      <c r="J22" s="139">
        <f t="shared" si="5"/>
        <v>38810.5505330644</v>
      </c>
      <c r="K22" s="32">
        <f t="shared" si="5"/>
        <v>45410.65898571476</v>
      </c>
      <c r="L22" s="38">
        <f t="shared" si="5"/>
        <v>49344.93273044252</v>
      </c>
      <c r="M22" s="38">
        <f t="shared" si="5"/>
        <v>49988.95046313951</v>
      </c>
      <c r="N22" s="38">
        <f t="shared" si="5"/>
        <v>46372.599653493715</v>
      </c>
      <c r="O22" s="38">
        <f t="shared" si="5"/>
        <v>41794.93637074772</v>
      </c>
      <c r="P22" s="32">
        <f t="shared" si="5"/>
        <v>40132.265830868266</v>
      </c>
      <c r="Q22" s="29">
        <f t="shared" si="5"/>
        <v>45679.635977351085</v>
      </c>
      <c r="R22" s="141">
        <f t="shared" si="5"/>
        <v>42353.54840069266</v>
      </c>
      <c r="S22" s="5"/>
    </row>
    <row r="23" spans="1:19" ht="12.75" customHeight="1">
      <c r="A23" s="159" t="s">
        <v>43</v>
      </c>
      <c r="B23" s="15" t="s">
        <v>27</v>
      </c>
      <c r="C23" s="13" t="s">
        <v>4</v>
      </c>
      <c r="D23" s="91">
        <f>'P合計'!D23+'B合計'!D23+'液化石油ガス'!D23</f>
        <v>100105</v>
      </c>
      <c r="E23" s="92">
        <f>'P合計'!E23+'B合計'!E23+'液化石油ガス'!E23</f>
        <v>68451</v>
      </c>
      <c r="F23" s="92">
        <f>'P合計'!F23+'B合計'!F23+'液化石油ガス'!F23</f>
        <v>76577</v>
      </c>
      <c r="G23" s="92">
        <f>'P合計'!G23+'B合計'!G23+'液化石油ガス'!G23</f>
        <v>129133</v>
      </c>
      <c r="H23" s="92">
        <f>'P合計'!H23+'B合計'!H23+'液化石油ガス'!H23</f>
        <v>65166</v>
      </c>
      <c r="I23" s="93">
        <f>'P合計'!I23+'B合計'!I23+'液化石油ガス'!I23</f>
        <v>67234</v>
      </c>
      <c r="J23" s="94">
        <f>'P合計'!J23+'B合計'!J23+'液化石油ガス'!J23</f>
        <v>506666</v>
      </c>
      <c r="K23" s="93">
        <f>'P合計'!K23+'B合計'!K23+'液化石油ガス'!K23</f>
        <v>70505</v>
      </c>
      <c r="L23" s="92">
        <f>'P合計'!L23+'B合計'!L23+'液化石油ガス'!L23</f>
        <v>85458</v>
      </c>
      <c r="M23" s="92">
        <f>'P合計'!M23+'B合計'!M23+'液化石油ガス'!M23</f>
        <v>123185</v>
      </c>
      <c r="N23" s="92">
        <f>'P合計'!N23+'B合計'!N23+'液化石油ガス'!N23</f>
        <v>58127</v>
      </c>
      <c r="O23" s="92">
        <f>'P合計'!O23+'B合計'!O23+'液化石油ガス'!O23</f>
        <v>87388</v>
      </c>
      <c r="P23" s="93">
        <f>'P合計'!P23+'B合計'!P23+'液化石油ガス'!P23</f>
        <v>110261</v>
      </c>
      <c r="Q23" s="94">
        <f>'P合計'!Q23+'B合計'!Q23+'液化石油ガス'!Q23</f>
        <v>534924</v>
      </c>
      <c r="R23" s="95">
        <f>'P合計'!R23+'B合計'!R23+'液化石油ガス'!R23</f>
        <v>1041590</v>
      </c>
      <c r="S23" s="5"/>
    </row>
    <row r="24" spans="1:19" ht="12.75" customHeight="1">
      <c r="A24" s="160"/>
      <c r="B24" s="15" t="s">
        <v>29</v>
      </c>
      <c r="C24" s="13" t="s">
        <v>5</v>
      </c>
      <c r="D24" s="91">
        <f>'P合計'!D24+'B合計'!D24+'液化石油ガス'!D24</f>
        <v>3221914</v>
      </c>
      <c r="E24" s="92">
        <f>'P合計'!E24+'B合計'!E24+'液化石油ガス'!E24</f>
        <v>2514491</v>
      </c>
      <c r="F24" s="92">
        <f>'P合計'!F24+'B合計'!F24+'液化石油ガス'!F24</f>
        <v>2969052</v>
      </c>
      <c r="G24" s="92">
        <f>'P合計'!G24+'B合計'!G24+'液化石油ガス'!G24</f>
        <v>5131951</v>
      </c>
      <c r="H24" s="92">
        <f>'P合計'!H24+'B合計'!H24+'液化石油ガス'!H24</f>
        <v>2637422</v>
      </c>
      <c r="I24" s="93">
        <f>'P合計'!I24+'B合計'!I24+'液化石油ガス'!I24</f>
        <v>2860929</v>
      </c>
      <c r="J24" s="94">
        <f>'P合計'!J24+'B合計'!J24+'液化石油ガス'!J24</f>
        <v>19335759</v>
      </c>
      <c r="K24" s="93">
        <f>'P合計'!K24+'B合計'!K24+'液化石油ガス'!K24</f>
        <v>3256481</v>
      </c>
      <c r="L24" s="92">
        <f>'P合計'!L24+'B合計'!L24+'液化石油ガス'!L24</f>
        <v>4117627</v>
      </c>
      <c r="M24" s="92">
        <f>'P合計'!M24+'B合計'!M24+'液化石油ガス'!M24</f>
        <v>6265939</v>
      </c>
      <c r="N24" s="92">
        <f>'P合計'!N24+'B合計'!N24+'液化石油ガス'!N24</f>
        <v>2379818</v>
      </c>
      <c r="O24" s="92">
        <f>'P合計'!O24+'B合計'!O24+'液化石油ガス'!O24</f>
        <v>3661361</v>
      </c>
      <c r="P24" s="93">
        <f>'P合計'!P24+'B合計'!P24+'液化石油ガス'!P24</f>
        <v>4705845</v>
      </c>
      <c r="Q24" s="94">
        <f>'P合計'!Q24+'B合計'!Q24+'液化石油ガス'!Q24</f>
        <v>24387071</v>
      </c>
      <c r="R24" s="95">
        <f>'P合計'!R24+'B合計'!R24+'液化石油ガス'!R24</f>
        <v>43722830</v>
      </c>
      <c r="S24" s="5"/>
    </row>
    <row r="25" spans="1:19" ht="12.75" customHeight="1" thickBot="1">
      <c r="A25" s="161"/>
      <c r="B25" s="16" t="s">
        <v>31</v>
      </c>
      <c r="C25" s="14" t="s">
        <v>6</v>
      </c>
      <c r="D25" s="7">
        <f aca="true" t="shared" si="6" ref="D25:R25">IF(D23=0,"",(D24/D23)*1000)</f>
        <v>32185.345387343288</v>
      </c>
      <c r="E25" s="38">
        <f t="shared" si="6"/>
        <v>36734.1748111788</v>
      </c>
      <c r="F25" s="38">
        <f t="shared" si="6"/>
        <v>38772.11173067631</v>
      </c>
      <c r="G25" s="38">
        <f t="shared" si="6"/>
        <v>39741.5920020444</v>
      </c>
      <c r="H25" s="38">
        <f t="shared" si="6"/>
        <v>40472.362888622905</v>
      </c>
      <c r="I25" s="32">
        <f t="shared" si="6"/>
        <v>42551.819020138624</v>
      </c>
      <c r="J25" s="29">
        <f t="shared" si="6"/>
        <v>38162.732450963755</v>
      </c>
      <c r="K25" s="32">
        <f t="shared" si="6"/>
        <v>46187.94411743848</v>
      </c>
      <c r="L25" s="38">
        <f t="shared" si="6"/>
        <v>48183.04898312621</v>
      </c>
      <c r="M25" s="38">
        <f t="shared" si="6"/>
        <v>50866.08759183342</v>
      </c>
      <c r="N25" s="38">
        <f t="shared" si="6"/>
        <v>40941.69662979338</v>
      </c>
      <c r="O25" s="38">
        <f t="shared" si="6"/>
        <v>41897.75484048153</v>
      </c>
      <c r="P25" s="32">
        <f t="shared" si="6"/>
        <v>42679.14312404204</v>
      </c>
      <c r="Q25" s="29">
        <f t="shared" si="6"/>
        <v>45589.78658650575</v>
      </c>
      <c r="R25" s="26">
        <f t="shared" si="6"/>
        <v>41977.00630766425</v>
      </c>
      <c r="S25" s="5"/>
    </row>
    <row r="26" spans="1:19" ht="12.75" customHeight="1">
      <c r="A26" s="159" t="s">
        <v>45</v>
      </c>
      <c r="B26" s="15" t="s">
        <v>27</v>
      </c>
      <c r="C26" s="13" t="s">
        <v>4</v>
      </c>
      <c r="D26" s="91">
        <f>'P合計'!D26+'B合計'!D26+'液化石油ガス'!D26</f>
        <v>89036</v>
      </c>
      <c r="E26" s="92">
        <f>'P合計'!E26+'B合計'!E26+'液化石油ガス'!E26</f>
        <v>32889</v>
      </c>
      <c r="F26" s="92">
        <f>'P合計'!F26+'B合計'!F26+'液化石油ガス'!F26</f>
        <v>22994</v>
      </c>
      <c r="G26" s="92">
        <f>'P合計'!G26+'B合計'!G26+'液化石油ガス'!G26</f>
        <v>25229</v>
      </c>
      <c r="H26" s="92">
        <f>'P合計'!H26+'B合計'!H26+'液化石油ガス'!H26</f>
        <v>53281</v>
      </c>
      <c r="I26" s="93">
        <f>'P合計'!I26+'B合計'!I26+'液化石油ガス'!I26</f>
        <v>45092</v>
      </c>
      <c r="J26" s="94">
        <f>'P合計'!J26+'B合計'!J26+'液化石油ガス'!J26</f>
        <v>268521</v>
      </c>
      <c r="K26" s="93">
        <f>'P合計'!K26+'B合計'!K26+'液化石油ガス'!K26</f>
        <v>43710</v>
      </c>
      <c r="L26" s="92">
        <f>'P合計'!L26+'B合計'!L26+'液化石油ガス'!L26</f>
        <v>66795</v>
      </c>
      <c r="M26" s="92">
        <f>'P合計'!M26+'B合計'!M26+'液化石油ガス'!M26</f>
        <v>50258</v>
      </c>
      <c r="N26" s="92">
        <f>'P合計'!N26+'B合計'!N26+'液化石油ガス'!N26</f>
        <v>51345</v>
      </c>
      <c r="O26" s="92">
        <f>'P合計'!O26+'B合計'!O26+'液化石油ガス'!O26</f>
        <v>108666</v>
      </c>
      <c r="P26" s="93">
        <f>'P合計'!P26+'B合計'!P26+'液化石油ガス'!P26</f>
        <v>57722</v>
      </c>
      <c r="Q26" s="94">
        <f>'P合計'!Q26+'B合計'!Q26+'液化石油ガス'!Q26</f>
        <v>378496</v>
      </c>
      <c r="R26" s="95">
        <f>'P合計'!R26+'B合計'!R26+'液化石油ガス'!R26</f>
        <v>647017</v>
      </c>
      <c r="S26" s="5"/>
    </row>
    <row r="27" spans="1:19" ht="12.75" customHeight="1">
      <c r="A27" s="160"/>
      <c r="B27" s="15" t="s">
        <v>29</v>
      </c>
      <c r="C27" s="13" t="s">
        <v>5</v>
      </c>
      <c r="D27" s="91">
        <f>'P合計'!D27+'B合計'!D27+'液化石油ガス'!D27</f>
        <v>2951473</v>
      </c>
      <c r="E27" s="92">
        <f>'P合計'!E27+'B合計'!E27+'液化石油ガス'!E27</f>
        <v>1233923</v>
      </c>
      <c r="F27" s="92">
        <f>'P合計'!F27+'B合計'!F27+'液化石油ガス'!F27</f>
        <v>869457</v>
      </c>
      <c r="G27" s="92">
        <f>'P合計'!G27+'B合計'!G27+'液化石油ガス'!G27</f>
        <v>1056739</v>
      </c>
      <c r="H27" s="92">
        <f>'P合計'!H27+'B合計'!H27+'液化石油ガス'!H27</f>
        <v>2144114</v>
      </c>
      <c r="I27" s="93">
        <f>'P合計'!I27+'B合計'!I27+'液化石油ガス'!I27</f>
        <v>1900986</v>
      </c>
      <c r="J27" s="94">
        <f>'P合計'!J27+'B合計'!J27+'液化石油ガス'!J27</f>
        <v>10156692</v>
      </c>
      <c r="K27" s="93">
        <f>'P合計'!K27+'B合計'!K27+'液化石油ガス'!K27</f>
        <v>1981191</v>
      </c>
      <c r="L27" s="92">
        <f>'P合計'!L27+'B合計'!L27+'液化石油ガス'!L27</f>
        <v>3396842</v>
      </c>
      <c r="M27" s="92">
        <f>'P合計'!M27+'B合計'!M27+'液化石油ガス'!M27</f>
        <v>2474993</v>
      </c>
      <c r="N27" s="92">
        <f>'P合計'!N27+'B合計'!N27+'液化石油ガス'!N27</f>
        <v>2399017</v>
      </c>
      <c r="O27" s="92">
        <f>'P合計'!O27+'B合計'!O27+'液化石油ガス'!O27</f>
        <v>4504156</v>
      </c>
      <c r="P27" s="93">
        <f>'P合計'!P27+'B合計'!P27+'液化石油ガス'!P27</f>
        <v>2489577</v>
      </c>
      <c r="Q27" s="94">
        <f>'P合計'!Q27+'B合計'!Q27+'液化石油ガス'!Q27</f>
        <v>17245776</v>
      </c>
      <c r="R27" s="95">
        <f>'P合計'!R27+'B合計'!R27+'液化石油ガス'!R27</f>
        <v>27402468</v>
      </c>
      <c r="S27" s="5"/>
    </row>
    <row r="28" spans="1:19" ht="12.75" customHeight="1" thickBot="1">
      <c r="A28" s="161"/>
      <c r="B28" s="16" t="s">
        <v>31</v>
      </c>
      <c r="C28" s="14" t="s">
        <v>6</v>
      </c>
      <c r="D28" s="7">
        <f aca="true" t="shared" si="7" ref="D28:R28">IF(D26=0,"",(D27/D26)*1000)</f>
        <v>33149.20930859428</v>
      </c>
      <c r="E28" s="38">
        <f t="shared" si="7"/>
        <v>37517.80230472195</v>
      </c>
      <c r="F28" s="38">
        <f t="shared" si="7"/>
        <v>37812.3423501783</v>
      </c>
      <c r="G28" s="38">
        <f t="shared" si="7"/>
        <v>41885.88529073685</v>
      </c>
      <c r="H28" s="38">
        <f t="shared" si="7"/>
        <v>40241.62459413299</v>
      </c>
      <c r="I28" s="32">
        <f t="shared" si="7"/>
        <v>42157.94375942517</v>
      </c>
      <c r="J28" s="29">
        <f t="shared" si="7"/>
        <v>37824.57237981387</v>
      </c>
      <c r="K28" s="32">
        <f t="shared" si="7"/>
        <v>45325.80645161291</v>
      </c>
      <c r="L28" s="38">
        <f t="shared" si="7"/>
        <v>50854.73463582603</v>
      </c>
      <c r="M28" s="38">
        <f t="shared" si="7"/>
        <v>49245.75192009233</v>
      </c>
      <c r="N28" s="38">
        <f t="shared" si="7"/>
        <v>46723.478430226896</v>
      </c>
      <c r="O28" s="38">
        <f t="shared" si="7"/>
        <v>41449.54263523089</v>
      </c>
      <c r="P28" s="32">
        <f t="shared" si="7"/>
        <v>43130.470184678285</v>
      </c>
      <c r="Q28" s="29">
        <f t="shared" si="7"/>
        <v>45563.95840378763</v>
      </c>
      <c r="R28" s="26">
        <f t="shared" si="7"/>
        <v>42352.00620694665</v>
      </c>
      <c r="S28" s="5"/>
    </row>
    <row r="29" spans="1:19" ht="12.75" customHeight="1">
      <c r="A29" s="159" t="s">
        <v>47</v>
      </c>
      <c r="B29" s="15" t="s">
        <v>27</v>
      </c>
      <c r="C29" s="13" t="s">
        <v>4</v>
      </c>
      <c r="D29" s="91">
        <f>'P合計'!D29+'B合計'!D29+'液化石油ガス'!D29</f>
        <v>1276</v>
      </c>
      <c r="E29" s="92">
        <f>'P合計'!E29+'B合計'!E29+'液化石油ガス'!E29</f>
        <v>3532</v>
      </c>
      <c r="F29" s="92">
        <f>'P合計'!F29+'B合計'!F29+'液化石油ガス'!F29</f>
        <v>836</v>
      </c>
      <c r="G29" s="92">
        <f>'P合計'!G29+'B合計'!G29+'液化石油ガス'!G29</f>
        <v>2942</v>
      </c>
      <c r="H29" s="92">
        <f>'P合計'!H29+'B合計'!H29+'液化石油ガス'!H29</f>
        <v>5541</v>
      </c>
      <c r="I29" s="93">
        <f>'P合計'!I29+'B合計'!I29+'液化石油ガス'!I29</f>
        <v>3403</v>
      </c>
      <c r="J29" s="94">
        <f>'P合計'!J29+'B合計'!J29+'液化石油ガス'!J29</f>
        <v>17530</v>
      </c>
      <c r="K29" s="93">
        <f>'P合計'!K29+'B合計'!K29+'液化石油ガス'!K29</f>
        <v>3213</v>
      </c>
      <c r="L29" s="92">
        <f>'P合計'!L29+'B合計'!L29+'液化石油ガス'!L29</f>
        <v>3984</v>
      </c>
      <c r="M29" s="92">
        <f>'P合計'!M29+'B合計'!M29+'液化石油ガス'!M29</f>
        <v>1987</v>
      </c>
      <c r="N29" s="92">
        <f>'P合計'!N29+'B合計'!N29+'液化石油ガス'!N29</f>
        <v>1422</v>
      </c>
      <c r="O29" s="92">
        <f>'P合計'!O29+'B合計'!O29+'液化石油ガス'!O29</f>
        <v>1118</v>
      </c>
      <c r="P29" s="93">
        <f>'P合計'!P29+'B合計'!P29+'液化石油ガス'!P29</f>
        <v>611</v>
      </c>
      <c r="Q29" s="94">
        <f>'P合計'!Q29+'B合計'!Q29+'液化石油ガス'!Q29</f>
        <v>12335</v>
      </c>
      <c r="R29" s="95">
        <f>'P合計'!R29+'B合計'!R29+'液化石油ガス'!R29</f>
        <v>29865</v>
      </c>
      <c r="S29" s="5"/>
    </row>
    <row r="30" spans="1:19" ht="12.75" customHeight="1">
      <c r="A30" s="160"/>
      <c r="B30" s="15" t="s">
        <v>29</v>
      </c>
      <c r="C30" s="13" t="s">
        <v>5</v>
      </c>
      <c r="D30" s="91">
        <f>'P合計'!D30+'B合計'!D30+'液化石油ガス'!D30</f>
        <v>123054</v>
      </c>
      <c r="E30" s="92">
        <f>'P合計'!E30+'B合計'!E30+'液化石油ガス'!E30</f>
        <v>217312</v>
      </c>
      <c r="F30" s="92">
        <f>'P合計'!F30+'B合計'!F30+'液化石油ガス'!F30</f>
        <v>100875</v>
      </c>
      <c r="G30" s="92">
        <f>'P合計'!G30+'B合計'!G30+'液化石油ガス'!G30</f>
        <v>281200</v>
      </c>
      <c r="H30" s="92">
        <f>'P合計'!H30+'B合計'!H30+'液化石油ガス'!H30</f>
        <v>408416</v>
      </c>
      <c r="I30" s="93">
        <f>'P合計'!I30+'B合計'!I30+'液化石油ガス'!I30</f>
        <v>336898</v>
      </c>
      <c r="J30" s="94">
        <f>'P合計'!J30+'B合計'!J30+'液化石油ガス'!J30</f>
        <v>1467755</v>
      </c>
      <c r="K30" s="93">
        <f>'P合計'!K30+'B合計'!K30+'液化石油ガス'!K30</f>
        <v>341309</v>
      </c>
      <c r="L30" s="92">
        <f>'P合計'!L30+'B合計'!L30+'液化石油ガス'!L30</f>
        <v>469441</v>
      </c>
      <c r="M30" s="92">
        <f>'P合計'!M30+'B合計'!M30+'液化石油ガス'!M30</f>
        <v>304337</v>
      </c>
      <c r="N30" s="92">
        <f>'P合計'!N30+'B合計'!N30+'液化石油ガス'!N30</f>
        <v>177363</v>
      </c>
      <c r="O30" s="92">
        <f>'P合計'!O30+'B合計'!O30+'液化石油ガス'!O30</f>
        <v>108100</v>
      </c>
      <c r="P30" s="93">
        <f>'P合計'!P30+'B合計'!P30+'液化石油ガス'!P30</f>
        <v>125458</v>
      </c>
      <c r="Q30" s="94">
        <f>'P合計'!Q30+'B合計'!Q30+'液化石油ガス'!Q30</f>
        <v>1526008</v>
      </c>
      <c r="R30" s="95">
        <f>'P合計'!R30+'B合計'!R30+'液化石油ガス'!R30</f>
        <v>2993763</v>
      </c>
      <c r="S30" s="5"/>
    </row>
    <row r="31" spans="1:19" ht="12.75" customHeight="1" thickBot="1">
      <c r="A31" s="161"/>
      <c r="B31" s="16" t="s">
        <v>31</v>
      </c>
      <c r="C31" s="14" t="s">
        <v>6</v>
      </c>
      <c r="D31" s="7">
        <f aca="true" t="shared" si="8" ref="D31:R31">IF(D29=0,"",(D30/D29)*1000)</f>
        <v>96437.30407523511</v>
      </c>
      <c r="E31" s="38">
        <f t="shared" si="8"/>
        <v>61526.61381653454</v>
      </c>
      <c r="F31" s="38">
        <f t="shared" si="8"/>
        <v>120663.87559808612</v>
      </c>
      <c r="G31" s="38">
        <f t="shared" si="8"/>
        <v>95581.237253569</v>
      </c>
      <c r="H31" s="38">
        <f t="shared" si="8"/>
        <v>73707.9949467605</v>
      </c>
      <c r="I31" s="32">
        <f t="shared" si="8"/>
        <v>99000.29385836027</v>
      </c>
      <c r="J31" s="29">
        <f t="shared" si="8"/>
        <v>83728.1802624073</v>
      </c>
      <c r="K31" s="32">
        <f t="shared" si="8"/>
        <v>106227.51322751323</v>
      </c>
      <c r="L31" s="38">
        <f t="shared" si="8"/>
        <v>117831.57630522088</v>
      </c>
      <c r="M31" s="38">
        <f t="shared" si="8"/>
        <v>153164.06643180674</v>
      </c>
      <c r="N31" s="38">
        <f t="shared" si="8"/>
        <v>124727.84810126582</v>
      </c>
      <c r="O31" s="38">
        <f t="shared" si="8"/>
        <v>96690.51878354205</v>
      </c>
      <c r="P31" s="32">
        <f t="shared" si="8"/>
        <v>205332.24222585926</v>
      </c>
      <c r="Q31" s="29">
        <f t="shared" si="8"/>
        <v>123713.66031617348</v>
      </c>
      <c r="R31" s="26">
        <f t="shared" si="8"/>
        <v>100243.19437468608</v>
      </c>
      <c r="S31" s="5"/>
    </row>
    <row r="32" spans="1:19" ht="12.75" customHeight="1">
      <c r="A32" s="159" t="s">
        <v>49</v>
      </c>
      <c r="B32" s="15" t="s">
        <v>27</v>
      </c>
      <c r="C32" s="13" t="s">
        <v>4</v>
      </c>
      <c r="D32" s="6">
        <f>'P合計'!D32+'B合計'!D32+'液化石油ガス'!D32</f>
        <v>0</v>
      </c>
      <c r="E32" s="37">
        <f>'P合計'!E32+'B合計'!E32+'液化石油ガス'!E32</f>
        <v>19805</v>
      </c>
      <c r="F32" s="37">
        <f>'P合計'!F32+'B合計'!F32+'液化石油ガス'!F32</f>
        <v>0</v>
      </c>
      <c r="G32" s="37">
        <f>'P合計'!G32+'B合計'!G32+'液化石油ガス'!G32</f>
        <v>0</v>
      </c>
      <c r="H32" s="37">
        <f>'P合計'!H32+'B合計'!H32+'液化石油ガス'!H32</f>
        <v>0</v>
      </c>
      <c r="I32" s="31">
        <f>'P合計'!I32+'B合計'!I32+'液化石油ガス'!I32</f>
        <v>0</v>
      </c>
      <c r="J32" s="28">
        <f>'P合計'!J32+'B合計'!J32+'液化石油ガス'!J32</f>
        <v>19805</v>
      </c>
      <c r="K32" s="31">
        <f>'P合計'!K32+'B合計'!K32+'液化石油ガス'!K32</f>
        <v>0</v>
      </c>
      <c r="L32" s="37">
        <f>'P合計'!L32+'B合計'!L32+'液化石油ガス'!L32</f>
        <v>0</v>
      </c>
      <c r="M32" s="37">
        <f>'P合計'!M32+'B合計'!M32+'液化石油ガス'!M32</f>
        <v>21174</v>
      </c>
      <c r="N32" s="37">
        <f>'P合計'!N32+'B合計'!N32+'液化石油ガス'!N32</f>
        <v>0</v>
      </c>
      <c r="O32" s="37">
        <f>'P合計'!O32+'B合計'!O32+'液化石油ガス'!O32</f>
        <v>0</v>
      </c>
      <c r="P32" s="31">
        <f>'P合計'!P32+'B合計'!P32+'液化石油ガス'!P32</f>
        <v>0</v>
      </c>
      <c r="Q32" s="28">
        <f>'P合計'!Q32+'B合計'!Q32+'液化石油ガス'!Q32</f>
        <v>21174</v>
      </c>
      <c r="R32" s="25">
        <f>'P合計'!R32+'B合計'!R32+'液化石油ガス'!R32</f>
        <v>40979</v>
      </c>
      <c r="S32" s="5"/>
    </row>
    <row r="33" spans="1:19" ht="12.75" customHeight="1">
      <c r="A33" s="160"/>
      <c r="B33" s="15" t="s">
        <v>29</v>
      </c>
      <c r="C33" s="13" t="s">
        <v>5</v>
      </c>
      <c r="D33" s="6">
        <f>'P合計'!D33+'B合計'!D33+'液化石油ガス'!D33</f>
        <v>0</v>
      </c>
      <c r="E33" s="37">
        <f>'P合計'!E33+'B合計'!E33+'液化石油ガス'!E33</f>
        <v>679511</v>
      </c>
      <c r="F33" s="37">
        <f>'P合計'!F33+'B合計'!F33+'液化石油ガス'!F33</f>
        <v>0</v>
      </c>
      <c r="G33" s="37">
        <f>'P合計'!G33+'B合計'!G33+'液化石油ガス'!G33</f>
        <v>0</v>
      </c>
      <c r="H33" s="37">
        <f>'P合計'!H33+'B合計'!H33+'液化石油ガス'!H33</f>
        <v>0</v>
      </c>
      <c r="I33" s="31">
        <f>'P合計'!I33+'B合計'!I33+'液化石油ガス'!I33</f>
        <v>0</v>
      </c>
      <c r="J33" s="28">
        <f>'P合計'!J33+'B合計'!J33+'液化石油ガス'!J33</f>
        <v>679511</v>
      </c>
      <c r="K33" s="31">
        <f>'P合計'!K33+'B合計'!K33+'液化石油ガス'!K33</f>
        <v>0</v>
      </c>
      <c r="L33" s="37">
        <f>'P合計'!L33+'B合計'!L33+'液化石油ガス'!L33</f>
        <v>0</v>
      </c>
      <c r="M33" s="37">
        <f>'P合計'!M33+'B合計'!M33+'液化石油ガス'!M33</f>
        <v>1035559</v>
      </c>
      <c r="N33" s="37">
        <f>'P合計'!N33+'B合計'!N33+'液化石油ガス'!N33</f>
        <v>0</v>
      </c>
      <c r="O33" s="37">
        <f>'P合計'!O33+'B合計'!O33+'液化石油ガス'!O33</f>
        <v>0</v>
      </c>
      <c r="P33" s="31">
        <f>'P合計'!P33+'B合計'!P33+'液化石油ガス'!P33</f>
        <v>0</v>
      </c>
      <c r="Q33" s="28">
        <f>'P合計'!Q33+'B合計'!Q33+'液化石油ガス'!Q33</f>
        <v>1035559</v>
      </c>
      <c r="R33" s="25">
        <f>'P合計'!R33+'B合計'!R33+'液化石油ガス'!R33</f>
        <v>1715070</v>
      </c>
      <c r="S33" s="5"/>
    </row>
    <row r="34" spans="1:19" ht="12.75" customHeight="1" thickBot="1">
      <c r="A34" s="161"/>
      <c r="B34" s="16" t="s">
        <v>31</v>
      </c>
      <c r="C34" s="14" t="s">
        <v>6</v>
      </c>
      <c r="D34" s="7">
        <f aca="true" t="shared" si="9" ref="D34:R34">IF(D32=0,"",(D33/D32)*1000)</f>
      </c>
      <c r="E34" s="38">
        <f t="shared" si="9"/>
        <v>34310.07321383489</v>
      </c>
      <c r="F34" s="38">
        <f t="shared" si="9"/>
      </c>
      <c r="G34" s="38">
        <f t="shared" si="9"/>
      </c>
      <c r="H34" s="38">
        <f t="shared" si="9"/>
      </c>
      <c r="I34" s="32">
        <f t="shared" si="9"/>
      </c>
      <c r="J34" s="29">
        <f t="shared" si="9"/>
        <v>34310.07321383489</v>
      </c>
      <c r="K34" s="32">
        <f t="shared" si="9"/>
      </c>
      <c r="L34" s="38">
        <f t="shared" si="9"/>
      </c>
      <c r="M34" s="38">
        <f t="shared" si="9"/>
        <v>48907.10305091149</v>
      </c>
      <c r="N34" s="38">
        <f t="shared" si="9"/>
      </c>
      <c r="O34" s="38">
        <f t="shared" si="9"/>
      </c>
      <c r="P34" s="32">
        <f t="shared" si="9"/>
      </c>
      <c r="Q34" s="29">
        <f t="shared" si="9"/>
        <v>48907.10305091149</v>
      </c>
      <c r="R34" s="26">
        <f t="shared" si="9"/>
        <v>41852.412211132534</v>
      </c>
      <c r="S34" s="5"/>
    </row>
    <row r="35" spans="1:19" ht="12.75" customHeight="1">
      <c r="A35" s="159" t="s">
        <v>51</v>
      </c>
      <c r="B35" s="15" t="s">
        <v>27</v>
      </c>
      <c r="C35" s="13" t="s">
        <v>4</v>
      </c>
      <c r="D35" s="6">
        <f>'P合計'!D35+'B合計'!D35+'液化石油ガス'!D35</f>
        <v>0</v>
      </c>
      <c r="E35" s="37">
        <f>'P合計'!E35+'B合計'!E35+'液化石油ガス'!E35</f>
        <v>15879</v>
      </c>
      <c r="F35" s="92">
        <f>'P合計'!F35+'B合計'!F35+'液化石油ガス'!F35</f>
        <v>32675</v>
      </c>
      <c r="G35" s="92">
        <f>'P合計'!G35+'B合計'!G35+'液化石油ガス'!G35</f>
        <v>0</v>
      </c>
      <c r="H35" s="92">
        <f>'P合計'!H35+'B合計'!H35+'液化石油ガス'!H35</f>
        <v>0</v>
      </c>
      <c r="I35" s="93">
        <f>'P合計'!I35+'B合計'!I35+'液化石油ガス'!I35</f>
        <v>0</v>
      </c>
      <c r="J35" s="94">
        <f>'P合計'!J35+'B合計'!J35+'液化石油ガス'!J35</f>
        <v>48554</v>
      </c>
      <c r="K35" s="93">
        <f>'P合計'!K35+'B合計'!K35+'液化石油ガス'!K35</f>
        <v>0</v>
      </c>
      <c r="L35" s="92">
        <f>'P合計'!L35+'B合計'!L35+'液化石油ガス'!L35</f>
        <v>39270</v>
      </c>
      <c r="M35" s="92">
        <f>'P合計'!M35+'B合計'!M35+'液化石油ガス'!M35</f>
        <v>0</v>
      </c>
      <c r="N35" s="92">
        <f>'P合計'!N35+'B合計'!N35+'液化石油ガス'!N35</f>
        <v>0</v>
      </c>
      <c r="O35" s="92">
        <f>'P合計'!O35+'B合計'!O35+'液化石油ガス'!O35</f>
        <v>44285</v>
      </c>
      <c r="P35" s="93">
        <f>'P合計'!P35+'B合計'!P35+'液化石油ガス'!P35</f>
        <v>20013</v>
      </c>
      <c r="Q35" s="94">
        <f>'P合計'!Q35+'B合計'!Q35+'液化石油ガス'!Q35</f>
        <v>103568</v>
      </c>
      <c r="R35" s="95">
        <f>'P合計'!R35+'B合計'!R35+'液化石油ガス'!R35</f>
        <v>152122</v>
      </c>
      <c r="S35" s="5"/>
    </row>
    <row r="36" spans="1:19" ht="12.75" customHeight="1">
      <c r="A36" s="160"/>
      <c r="B36" s="15" t="s">
        <v>29</v>
      </c>
      <c r="C36" s="13" t="s">
        <v>5</v>
      </c>
      <c r="D36" s="6">
        <f>'P合計'!D36+'B合計'!D36+'液化石油ガス'!D36</f>
        <v>0</v>
      </c>
      <c r="E36" s="37">
        <f>'P合計'!E36+'B合計'!E36+'液化石油ガス'!E36</f>
        <v>636359</v>
      </c>
      <c r="F36" s="92">
        <f>'P合計'!F36+'B合計'!F36+'液化石油ガス'!F36</f>
        <v>1347845</v>
      </c>
      <c r="G36" s="92">
        <f>'P合計'!G36+'B合計'!G36+'液化石油ガス'!G36</f>
        <v>0</v>
      </c>
      <c r="H36" s="92">
        <f>'P合計'!H36+'B合計'!H36+'液化石油ガス'!H36</f>
        <v>0</v>
      </c>
      <c r="I36" s="93">
        <f>'P合計'!I36+'B合計'!I36+'液化石油ガス'!I36</f>
        <v>0</v>
      </c>
      <c r="J36" s="94">
        <f>'P合計'!J36+'B合計'!J36+'液化石油ガス'!J36</f>
        <v>1984204</v>
      </c>
      <c r="K36" s="93">
        <f>'P合計'!K36+'B合計'!K36+'液化石油ガス'!K36</f>
        <v>0</v>
      </c>
      <c r="L36" s="92">
        <f>'P合計'!L36+'B合計'!L36+'液化石油ガス'!L36</f>
        <v>1835777</v>
      </c>
      <c r="M36" s="92">
        <f>'P合計'!M36+'B合計'!M36+'液化石油ガス'!M36</f>
        <v>0</v>
      </c>
      <c r="N36" s="92">
        <f>'P合計'!N36+'B合計'!N36+'液化石油ガス'!N36</f>
        <v>0</v>
      </c>
      <c r="O36" s="92">
        <f>'P合計'!O36+'B合計'!O36+'液化石油ガス'!O36</f>
        <v>1852398</v>
      </c>
      <c r="P36" s="93">
        <f>'P合計'!P36+'B合計'!P36+'液化石油ガス'!P36</f>
        <v>861967</v>
      </c>
      <c r="Q36" s="94">
        <f>'P合計'!Q36+'B合計'!Q36+'液化石油ガス'!Q36</f>
        <v>4550142</v>
      </c>
      <c r="R36" s="95">
        <f>'P合計'!R36+'B合計'!R36+'液化石油ガス'!R36</f>
        <v>6534346</v>
      </c>
      <c r="S36" s="5"/>
    </row>
    <row r="37" spans="1:19" ht="12.75" customHeight="1" thickBot="1">
      <c r="A37" s="161"/>
      <c r="B37" s="16" t="s">
        <v>31</v>
      </c>
      <c r="C37" s="14" t="s">
        <v>6</v>
      </c>
      <c r="D37" s="7">
        <f aca="true" t="shared" si="10" ref="D37:R37">IF(D35=0,"",(D36/D35)*1000)</f>
      </c>
      <c r="E37" s="38">
        <f t="shared" si="10"/>
        <v>40075.50853328295</v>
      </c>
      <c r="F37" s="38">
        <f t="shared" si="10"/>
        <v>41250.03825554706</v>
      </c>
      <c r="G37" s="38">
        <f t="shared" si="10"/>
      </c>
      <c r="H37" s="38">
        <f t="shared" si="10"/>
      </c>
      <c r="I37" s="32">
        <f t="shared" si="10"/>
      </c>
      <c r="J37" s="29">
        <f t="shared" si="10"/>
        <v>40865.92247806566</v>
      </c>
      <c r="K37" s="32">
        <f t="shared" si="10"/>
      </c>
      <c r="L37" s="38">
        <f t="shared" si="10"/>
        <v>46747.56811815635</v>
      </c>
      <c r="M37" s="38">
        <f t="shared" si="10"/>
      </c>
      <c r="N37" s="38">
        <f t="shared" si="10"/>
      </c>
      <c r="O37" s="38">
        <f t="shared" si="10"/>
        <v>41829.01659704188</v>
      </c>
      <c r="P37" s="32">
        <f t="shared" si="10"/>
        <v>43070.35426972468</v>
      </c>
      <c r="Q37" s="29">
        <f t="shared" si="10"/>
        <v>43933.85987949946</v>
      </c>
      <c r="R37" s="26">
        <f t="shared" si="10"/>
        <v>42954.641669186574</v>
      </c>
      <c r="S37" s="5"/>
    </row>
    <row r="38" spans="1:19" ht="12.75" customHeight="1">
      <c r="A38" s="159" t="s">
        <v>53</v>
      </c>
      <c r="B38" s="15" t="s">
        <v>27</v>
      </c>
      <c r="C38" s="13" t="s">
        <v>4</v>
      </c>
      <c r="D38" s="91">
        <f>'P合計'!D38+'B合計'!D38+'液化石油ガス'!D38</f>
        <v>115</v>
      </c>
      <c r="E38" s="92">
        <f>'P合計'!E38+'B合計'!E38+'液化石油ガス'!E38</f>
        <v>22171</v>
      </c>
      <c r="F38" s="92">
        <f>'P合計'!F38+'B合計'!F38+'液化石油ガス'!F38</f>
        <v>36314</v>
      </c>
      <c r="G38" s="92">
        <f>'P合計'!G38+'B合計'!G38+'液化石油ガス'!G38</f>
        <v>23106</v>
      </c>
      <c r="H38" s="136">
        <f>'P合計'!H38+'B合計'!H38+'液化石油ガス'!H38</f>
        <v>67491</v>
      </c>
      <c r="I38" s="93">
        <f>'P合計'!I38+'B合計'!I38+'液化石油ガス'!I38</f>
        <v>495</v>
      </c>
      <c r="J38" s="138">
        <f>'P合計'!J38+'B合計'!J38+'液化石油ガス'!J38</f>
        <v>149692</v>
      </c>
      <c r="K38" s="93">
        <f>'P合計'!K38+'B合計'!K38+'液化石油ガス'!K38</f>
        <v>61786</v>
      </c>
      <c r="L38" s="136">
        <f>'P合計'!L38+'B合計'!L38+'液化石油ガス'!L38</f>
        <v>21530</v>
      </c>
      <c r="M38" s="92">
        <f>'P合計'!M38+'B合計'!M38+'液化石油ガス'!M38</f>
        <v>452</v>
      </c>
      <c r="N38" s="92">
        <f>'P合計'!N38+'B合計'!N38+'液化石油ガス'!N38</f>
        <v>422</v>
      </c>
      <c r="O38" s="92">
        <f>'P合計'!O38+'B合計'!O38+'液化石油ガス'!O38</f>
        <v>29938</v>
      </c>
      <c r="P38" s="93">
        <f>'P合計'!P38+'B合計'!P38+'液化石油ガス'!P38</f>
        <v>82</v>
      </c>
      <c r="Q38" s="138">
        <f>'P合計'!Q38+'B合計'!Q38+'液化石油ガス'!Q38</f>
        <v>114210</v>
      </c>
      <c r="R38" s="140">
        <f>'P合計'!R38+'B合計'!R38+'液化石油ガス'!R38</f>
        <v>263902</v>
      </c>
      <c r="S38" s="5"/>
    </row>
    <row r="39" spans="1:19" ht="12.75" customHeight="1">
      <c r="A39" s="160"/>
      <c r="B39" s="15" t="s">
        <v>29</v>
      </c>
      <c r="C39" s="13" t="s">
        <v>5</v>
      </c>
      <c r="D39" s="91">
        <f>'P合計'!D39+'B合計'!D39+'液化石油ガス'!D39</f>
        <v>38801</v>
      </c>
      <c r="E39" s="92">
        <f>'P合計'!E39+'B合計'!E39+'液化石油ガス'!E39</f>
        <v>884461</v>
      </c>
      <c r="F39" s="92">
        <f>'P合計'!F39+'B合計'!F39+'液化石油ガス'!F39</f>
        <v>1410140</v>
      </c>
      <c r="G39" s="92">
        <f>'P合計'!G39+'B合計'!G39+'液化石油ガス'!G39</f>
        <v>944091</v>
      </c>
      <c r="H39" s="136">
        <f>'P合計'!H39+'B合計'!H39+'液化石油ガス'!H39</f>
        <v>2615580</v>
      </c>
      <c r="I39" s="93">
        <f>'P合計'!I39+'B合計'!I39+'液化石油ガス'!I39</f>
        <v>121534</v>
      </c>
      <c r="J39" s="138">
        <f>'P合計'!J39+'B合計'!J39+'液化石油ガス'!J39</f>
        <v>6014607</v>
      </c>
      <c r="K39" s="93">
        <f>'P合計'!K39+'B合計'!K39+'液化石油ガス'!K39</f>
        <v>2931675</v>
      </c>
      <c r="L39" s="136">
        <f>'P合計'!L39+'B合計'!L39+'液化石油ガス'!L39</f>
        <v>1317502</v>
      </c>
      <c r="M39" s="92">
        <f>'P合計'!M39+'B合計'!M39+'液化石油ガス'!M39</f>
        <v>90270</v>
      </c>
      <c r="N39" s="92">
        <f>'P合計'!N39+'B合計'!N39+'液化石油ガス'!N39</f>
        <v>123558</v>
      </c>
      <c r="O39" s="92">
        <f>'P合計'!O39+'B合計'!O39+'液化石油ガス'!O39</f>
        <v>1325730</v>
      </c>
      <c r="P39" s="93">
        <f>'P合計'!P39+'B合計'!P39+'液化石油ガス'!P39</f>
        <v>78559</v>
      </c>
      <c r="Q39" s="138">
        <f>'P合計'!Q39+'B合計'!Q39+'液化石油ガス'!Q39</f>
        <v>5867294</v>
      </c>
      <c r="R39" s="140">
        <f>'P合計'!R39+'B合計'!R39+'液化石油ガス'!R39</f>
        <v>11881901</v>
      </c>
      <c r="S39" s="5"/>
    </row>
    <row r="40" spans="1:19" ht="12.75" customHeight="1" thickBot="1">
      <c r="A40" s="161"/>
      <c r="B40" s="16" t="s">
        <v>31</v>
      </c>
      <c r="C40" s="14" t="s">
        <v>6</v>
      </c>
      <c r="D40" s="7">
        <f aca="true" t="shared" si="11" ref="D40:R40">IF(D38=0,"",(D39/D38)*1000)</f>
        <v>337400</v>
      </c>
      <c r="E40" s="38">
        <f t="shared" si="11"/>
        <v>39892.69766812503</v>
      </c>
      <c r="F40" s="38">
        <f t="shared" si="11"/>
        <v>38831.855482733925</v>
      </c>
      <c r="G40" s="38">
        <f t="shared" si="11"/>
        <v>40859.12749935082</v>
      </c>
      <c r="H40" s="137">
        <f t="shared" si="11"/>
        <v>38754.500600080006</v>
      </c>
      <c r="I40" s="32">
        <f t="shared" si="11"/>
        <v>245523.2323232323</v>
      </c>
      <c r="J40" s="139">
        <f t="shared" si="11"/>
        <v>40179.882692461855</v>
      </c>
      <c r="K40" s="32">
        <f t="shared" si="11"/>
        <v>47448.85572783478</v>
      </c>
      <c r="L40" s="137">
        <f t="shared" si="11"/>
        <v>61193.776126335346</v>
      </c>
      <c r="M40" s="38">
        <f t="shared" si="11"/>
        <v>199712.38938053098</v>
      </c>
      <c r="N40" s="38">
        <f t="shared" si="11"/>
        <v>292791.4691943128</v>
      </c>
      <c r="O40" s="38">
        <f t="shared" si="11"/>
        <v>44282.51720221792</v>
      </c>
      <c r="P40" s="32">
        <f t="shared" si="11"/>
        <v>958036.5853658536</v>
      </c>
      <c r="Q40" s="139">
        <f t="shared" si="11"/>
        <v>51372.85701777427</v>
      </c>
      <c r="R40" s="141">
        <f t="shared" si="11"/>
        <v>45023.914180263884</v>
      </c>
      <c r="S40" s="5"/>
    </row>
    <row r="41" spans="1:19" ht="12.75" customHeight="1">
      <c r="A41" s="159" t="s">
        <v>7</v>
      </c>
      <c r="B41" s="15" t="s">
        <v>27</v>
      </c>
      <c r="C41" s="13" t="s">
        <v>4</v>
      </c>
      <c r="D41" s="91">
        <f>'P合計'!D41+'B合計'!D41+'液化石油ガス'!D41</f>
        <v>1014967</v>
      </c>
      <c r="E41" s="92">
        <f>'P合計'!E41+'B合計'!E41+'液化石油ガス'!E41</f>
        <v>1253015</v>
      </c>
      <c r="F41" s="92">
        <f>'P合計'!F41+'B合計'!F41+'液化石油ガス'!F41</f>
        <v>1181084</v>
      </c>
      <c r="G41" s="92">
        <f>'P合計'!G41+'B合計'!G41+'液化石油ガス'!G41</f>
        <v>792548</v>
      </c>
      <c r="H41" s="136">
        <f>'P合計'!H41+'B合計'!H41+'液化石油ガス'!H41</f>
        <v>1221174</v>
      </c>
      <c r="I41" s="93">
        <f>'P合計'!I41+'B合計'!I41+'液化石油ガス'!I41</f>
        <v>979911</v>
      </c>
      <c r="J41" s="138">
        <f>'P合計'!J41+'B合計'!J41+'液化石油ガス'!J41</f>
        <v>6442699</v>
      </c>
      <c r="K41" s="93">
        <f>'P合計'!K41+'B合計'!K41+'液化石油ガス'!K41</f>
        <v>1006391</v>
      </c>
      <c r="L41" s="136">
        <f>'P合計'!L41+'B合計'!L41+'液化石油ガス'!L41</f>
        <v>1223034</v>
      </c>
      <c r="M41" s="92">
        <f>'P合計'!M41+'B合計'!M41+'液化石油ガス'!M41</f>
        <v>1216287</v>
      </c>
      <c r="N41" s="92">
        <f>'P合計'!N41+'B合計'!N41+'液化石油ガス'!N41</f>
        <v>1019548</v>
      </c>
      <c r="O41" s="92">
        <f>'P合計'!O41+'B合計'!O41+'液化石油ガス'!O41</f>
        <v>1317176</v>
      </c>
      <c r="P41" s="93">
        <f>'P合計'!P41+'B合計'!P41+'液化石油ガス'!P41</f>
        <v>1368284</v>
      </c>
      <c r="Q41" s="138">
        <f>'P合計'!Q41+'B合計'!Q41+'液化石油ガス'!Q41</f>
        <v>7150720</v>
      </c>
      <c r="R41" s="140">
        <f>'P合計'!R41+'B合計'!R41+'液化石油ガス'!R41</f>
        <v>13593419</v>
      </c>
      <c r="S41" s="5"/>
    </row>
    <row r="42" spans="1:19" ht="12.75" customHeight="1">
      <c r="A42" s="160"/>
      <c r="B42" s="15" t="s">
        <v>29</v>
      </c>
      <c r="C42" s="13" t="s">
        <v>5</v>
      </c>
      <c r="D42" s="91">
        <f>'P合計'!D42+'B合計'!D42+'液化石油ガス'!D42</f>
        <v>33013588</v>
      </c>
      <c r="E42" s="92">
        <f>'P合計'!E42+'B合計'!E42+'液化石油ガス'!E42</f>
        <v>46397588</v>
      </c>
      <c r="F42" s="136">
        <f>'P合計'!F42+'B合計'!F42+'液化石油ガス'!F42</f>
        <v>46927378</v>
      </c>
      <c r="G42" s="136">
        <f>'P合計'!G42+'B合計'!G42+'液化石油ガス'!G42</f>
        <v>31326258</v>
      </c>
      <c r="H42" s="136">
        <f>'P合計'!H42+'B合計'!H42+'液化石油ガス'!H42</f>
        <v>48235097</v>
      </c>
      <c r="I42" s="93">
        <f>'P合計'!I42+'B合計'!I42+'液化石油ガス'!I42</f>
        <v>41936200</v>
      </c>
      <c r="J42" s="138">
        <f>'P合計'!J42+'B合計'!J42+'液化石油ガス'!J42</f>
        <v>247836109</v>
      </c>
      <c r="K42" s="93">
        <f>'P合計'!K42+'B合計'!K42+'液化石油ガス'!K42</f>
        <v>46651423</v>
      </c>
      <c r="L42" s="136">
        <f>'P合計'!L42+'B合計'!L42+'液化石油ガス'!L42</f>
        <v>60476078</v>
      </c>
      <c r="M42" s="92">
        <f>'P合計'!M42+'B合計'!M42+'液化石油ガス'!M42</f>
        <v>60367578</v>
      </c>
      <c r="N42" s="136">
        <f>'P合計'!N42+'B合計'!N42+'液化石油ガス'!N42</f>
        <v>47214006</v>
      </c>
      <c r="O42" s="92">
        <f>'P合計'!O42+'B合計'!O42+'液化石油ガス'!O42</f>
        <v>55138186</v>
      </c>
      <c r="P42" s="93">
        <f>'P合計'!P42+'B合計'!P42+'液化石油ガス'!P42</f>
        <v>58202046</v>
      </c>
      <c r="Q42" s="138">
        <f>'P合計'!Q42+'B合計'!Q42+'液化石油ガス'!Q42</f>
        <v>328049317</v>
      </c>
      <c r="R42" s="140">
        <f>'P合計'!R42+'B合計'!R42+'液化石油ガス'!R42</f>
        <v>575885426</v>
      </c>
      <c r="S42" s="5"/>
    </row>
    <row r="43" spans="1:19" ht="12.75" customHeight="1" thickBot="1">
      <c r="A43" s="161"/>
      <c r="B43" s="16" t="s">
        <v>31</v>
      </c>
      <c r="C43" s="14" t="s">
        <v>6</v>
      </c>
      <c r="D43" s="7">
        <f aca="true" t="shared" si="12" ref="D43:R43">IF(D41=0,"",(D42/D41)*1000)</f>
        <v>32526.759983329506</v>
      </c>
      <c r="E43" s="38">
        <f t="shared" si="12"/>
        <v>37028.75703802429</v>
      </c>
      <c r="F43" s="137">
        <f t="shared" si="12"/>
        <v>39732.46441404676</v>
      </c>
      <c r="G43" s="137">
        <f>IF(G41=0,"",(G42/G41)*1000)</f>
        <v>39526.00725760459</v>
      </c>
      <c r="H43" s="137">
        <f t="shared" si="12"/>
        <v>39498.95510385907</v>
      </c>
      <c r="I43" s="32">
        <f t="shared" si="12"/>
        <v>42795.92738524213</v>
      </c>
      <c r="J43" s="139">
        <f t="shared" si="12"/>
        <v>38467.74604866687</v>
      </c>
      <c r="K43" s="32">
        <f t="shared" si="12"/>
        <v>46355.16712689203</v>
      </c>
      <c r="L43" s="137">
        <f t="shared" si="12"/>
        <v>49447.58526745781</v>
      </c>
      <c r="M43" s="38">
        <f t="shared" si="12"/>
        <v>49632.67551161856</v>
      </c>
      <c r="N43" s="137">
        <f t="shared" si="12"/>
        <v>46308.762314280444</v>
      </c>
      <c r="O43" s="38">
        <f t="shared" si="12"/>
        <v>41860.91000747053</v>
      </c>
      <c r="P43" s="32">
        <f t="shared" si="12"/>
        <v>42536.524581154204</v>
      </c>
      <c r="Q43" s="139">
        <f t="shared" si="12"/>
        <v>45876.40363487873</v>
      </c>
      <c r="R43" s="141">
        <f t="shared" si="12"/>
        <v>42365.01692473394</v>
      </c>
      <c r="S43" s="5"/>
    </row>
    <row r="44" spans="1:19" s="46" customFormat="1" ht="17.25" customHeight="1" thickBot="1">
      <c r="A44" s="165" t="s">
        <v>24</v>
      </c>
      <c r="B44" s="166"/>
      <c r="C44" s="167"/>
      <c r="D44" s="69">
        <f>'B一般'!D44</f>
        <v>106.25</v>
      </c>
      <c r="E44" s="70">
        <f>'B一般'!E44</f>
        <v>110.39</v>
      </c>
      <c r="F44" s="70">
        <f>'B一般'!F44</f>
        <v>111.1</v>
      </c>
      <c r="G44" s="70">
        <f>'B一般'!G44</f>
        <v>108.75</v>
      </c>
      <c r="H44" s="70">
        <f>'B一般'!H44</f>
        <v>110.45</v>
      </c>
      <c r="I44" s="71">
        <f>'B一般'!I44</f>
        <v>109.73</v>
      </c>
      <c r="J44" s="72">
        <v>109.55</v>
      </c>
      <c r="K44" s="71">
        <f>'B一般'!K44</f>
        <v>110.29</v>
      </c>
      <c r="L44" s="70">
        <f>'B一般'!L44</f>
        <v>106.67</v>
      </c>
      <c r="M44" s="70">
        <f>'B一般'!M44</f>
        <v>103.64</v>
      </c>
      <c r="N44" s="70">
        <f>'B一般'!N44</f>
        <v>103.66</v>
      </c>
      <c r="O44" s="70">
        <f>'B一般'!O44</f>
        <v>103.83</v>
      </c>
      <c r="P44" s="71">
        <f>'B一般'!P44</f>
        <v>104.83</v>
      </c>
      <c r="Q44" s="72">
        <v>105.35</v>
      </c>
      <c r="R44" s="73">
        <v>107.34</v>
      </c>
      <c r="S44" s="45"/>
    </row>
    <row r="45" spans="1:19" ht="12.75">
      <c r="A45" s="168" t="s">
        <v>54</v>
      </c>
      <c r="B45" s="15" t="s">
        <v>27</v>
      </c>
      <c r="C45" s="13" t="s">
        <v>4</v>
      </c>
      <c r="D45" s="91">
        <f>'P合計'!D41</f>
        <v>738524</v>
      </c>
      <c r="E45" s="92">
        <f>'P合計'!E41</f>
        <v>916541</v>
      </c>
      <c r="F45" s="92">
        <f>'P合計'!F41</f>
        <v>838702</v>
      </c>
      <c r="G45" s="92">
        <f>'P合計'!G41</f>
        <v>519008</v>
      </c>
      <c r="H45" s="136">
        <f>'P合計'!H41</f>
        <v>759701</v>
      </c>
      <c r="I45" s="93">
        <f>'P合計'!I41</f>
        <v>673688</v>
      </c>
      <c r="J45" s="138">
        <f>SUM(D45:I45)</f>
        <v>4446164</v>
      </c>
      <c r="K45" s="93">
        <f>'P合計'!K41</f>
        <v>717645</v>
      </c>
      <c r="L45" s="136">
        <f>'P合計'!L41</f>
        <v>779278</v>
      </c>
      <c r="M45" s="92">
        <f>'P合計'!M41</f>
        <v>888545</v>
      </c>
      <c r="N45" s="92">
        <f>'P合計'!N41</f>
        <v>791139</v>
      </c>
      <c r="O45" s="92">
        <f>'P合計'!O41</f>
        <v>964897</v>
      </c>
      <c r="P45" s="93">
        <f>'P合計'!P41</f>
        <v>1005209</v>
      </c>
      <c r="Q45" s="138">
        <f>SUM(K45:P45)</f>
        <v>5146713</v>
      </c>
      <c r="R45" s="140">
        <f>J45+Q45</f>
        <v>9592877</v>
      </c>
      <c r="S45" s="5"/>
    </row>
    <row r="46" spans="1:19" ht="12.75">
      <c r="A46" s="163"/>
      <c r="B46" s="15" t="s">
        <v>29</v>
      </c>
      <c r="C46" s="13" t="s">
        <v>5</v>
      </c>
      <c r="D46" s="91">
        <f>'P合計'!D42</f>
        <v>24047809</v>
      </c>
      <c r="E46" s="92">
        <f>'P合計'!E42</f>
        <v>33743370</v>
      </c>
      <c r="F46" s="136">
        <f>'P合計'!F42</f>
        <v>33106977</v>
      </c>
      <c r="G46" s="92">
        <f>'P合計'!G42</f>
        <v>20024323</v>
      </c>
      <c r="H46" s="136">
        <f>'P合計'!H42</f>
        <v>29581301</v>
      </c>
      <c r="I46" s="93">
        <f>'P合計'!I42</f>
        <v>28593108</v>
      </c>
      <c r="J46" s="138">
        <f>SUM(D46:I46)</f>
        <v>169096888</v>
      </c>
      <c r="K46" s="93">
        <f>'P合計'!K42</f>
        <v>33017592</v>
      </c>
      <c r="L46" s="136">
        <f>'P合計'!L42</f>
        <v>38269466</v>
      </c>
      <c r="M46" s="92">
        <f>'P合計'!M42</f>
        <v>43446967</v>
      </c>
      <c r="N46" s="92">
        <f>'P合計'!N42</f>
        <v>36360908</v>
      </c>
      <c r="O46" s="92">
        <f>'P合計'!O42</f>
        <v>40102512</v>
      </c>
      <c r="P46" s="93">
        <f>'P合計'!P42</f>
        <v>42568162</v>
      </c>
      <c r="Q46" s="138">
        <f>SUM(K46:P46)</f>
        <v>233765607</v>
      </c>
      <c r="R46" s="140">
        <f>J46+Q46</f>
        <v>402862495</v>
      </c>
      <c r="S46" s="5"/>
    </row>
    <row r="47" spans="1:19" ht="13.5" thickBot="1">
      <c r="A47" s="164"/>
      <c r="B47" s="16" t="s">
        <v>31</v>
      </c>
      <c r="C47" s="14" t="s">
        <v>6</v>
      </c>
      <c r="D47" s="7">
        <f aca="true" t="shared" si="13" ref="D47:I47">IF(D46=0,"",(D46/D45)*1000)</f>
        <v>32561.987152753332</v>
      </c>
      <c r="E47" s="38">
        <f t="shared" si="13"/>
        <v>36815.99622930126</v>
      </c>
      <c r="F47" s="137">
        <f t="shared" si="13"/>
        <v>39474.06468566905</v>
      </c>
      <c r="G47" s="38">
        <f t="shared" si="13"/>
        <v>38581.915885689625</v>
      </c>
      <c r="H47" s="137">
        <f t="shared" si="13"/>
        <v>38938.083535496204</v>
      </c>
      <c r="I47" s="32">
        <f t="shared" si="13"/>
        <v>42442.6559475603</v>
      </c>
      <c r="J47" s="139">
        <f aca="true" t="shared" si="14" ref="J47:R47">IF(J46=0,"",(J46/J45)*1000)</f>
        <v>38032.08518624145</v>
      </c>
      <c r="K47" s="32">
        <f t="shared" si="14"/>
        <v>46008.25199088686</v>
      </c>
      <c r="L47" s="137">
        <f t="shared" si="14"/>
        <v>49108.87513826901</v>
      </c>
      <c r="M47" s="38">
        <f t="shared" si="14"/>
        <v>48896.75480701597</v>
      </c>
      <c r="N47" s="38">
        <f t="shared" si="14"/>
        <v>45960.20168390131</v>
      </c>
      <c r="O47" s="38">
        <f t="shared" si="14"/>
        <v>41561.44334576644</v>
      </c>
      <c r="P47" s="32">
        <f t="shared" si="14"/>
        <v>42347.57348969219</v>
      </c>
      <c r="Q47" s="139">
        <f t="shared" si="14"/>
        <v>45420.36966117986</v>
      </c>
      <c r="R47" s="141">
        <f t="shared" si="14"/>
        <v>41996.003388764395</v>
      </c>
      <c r="S47" s="5"/>
    </row>
    <row r="48" spans="1:19" ht="12.75">
      <c r="A48" s="168" t="s">
        <v>55</v>
      </c>
      <c r="B48" s="15" t="s">
        <v>27</v>
      </c>
      <c r="C48" s="13" t="s">
        <v>4</v>
      </c>
      <c r="D48" s="91">
        <f>'B合計'!D41</f>
        <v>276373</v>
      </c>
      <c r="E48" s="92">
        <f>'B合計'!E41</f>
        <v>336375</v>
      </c>
      <c r="F48" s="92">
        <f>'B合計'!F41</f>
        <v>342346</v>
      </c>
      <c r="G48" s="92">
        <f>'B合計'!G41</f>
        <v>273481</v>
      </c>
      <c r="H48" s="136">
        <f>'B合計'!H41</f>
        <v>461449</v>
      </c>
      <c r="I48" s="93">
        <f>'B合計'!I41</f>
        <v>305931</v>
      </c>
      <c r="J48" s="138">
        <f>SUM(D48:I48)</f>
        <v>1995955</v>
      </c>
      <c r="K48" s="93">
        <f>'B合計'!K41</f>
        <v>288580</v>
      </c>
      <c r="L48" s="136">
        <f>'B合計'!L41</f>
        <v>443378</v>
      </c>
      <c r="M48" s="92">
        <f>'B合計'!M41</f>
        <v>327582</v>
      </c>
      <c r="N48" s="92">
        <f>'B合計'!N41</f>
        <v>228354</v>
      </c>
      <c r="O48" s="92">
        <f>'B合計'!O41</f>
        <v>352279</v>
      </c>
      <c r="P48" s="93">
        <f>'B合計'!P41</f>
        <v>363063</v>
      </c>
      <c r="Q48" s="138">
        <f>SUM(K48:P48)</f>
        <v>2003236</v>
      </c>
      <c r="R48" s="140">
        <f>J48+Q48</f>
        <v>3999191</v>
      </c>
      <c r="S48" s="5"/>
    </row>
    <row r="49" spans="1:19" ht="12.75">
      <c r="A49" s="163"/>
      <c r="B49" s="15" t="s">
        <v>29</v>
      </c>
      <c r="C49" s="13" t="s">
        <v>5</v>
      </c>
      <c r="D49" s="91">
        <f>'B合計'!D42</f>
        <v>8949704</v>
      </c>
      <c r="E49" s="92">
        <f>'B合計'!E42</f>
        <v>12630888</v>
      </c>
      <c r="F49" s="92">
        <f>'B合計'!F42</f>
        <v>13809397</v>
      </c>
      <c r="G49" s="136">
        <f>'B合計'!G42</f>
        <v>11291958</v>
      </c>
      <c r="H49" s="136">
        <f>'B合計'!H42</f>
        <v>18637198</v>
      </c>
      <c r="I49" s="93">
        <f>'B合計'!I42</f>
        <v>13295459</v>
      </c>
      <c r="J49" s="138">
        <f>SUM(D49:I49)</f>
        <v>78614604</v>
      </c>
      <c r="K49" s="93">
        <f>'B合計'!K42</f>
        <v>13607406</v>
      </c>
      <c r="L49" s="136">
        <f>'B合計'!L42</f>
        <v>22132321</v>
      </c>
      <c r="M49" s="92">
        <f>'B合計'!M42</f>
        <v>16886650</v>
      </c>
      <c r="N49" s="136">
        <f>'B合計'!N42</f>
        <v>10836178</v>
      </c>
      <c r="O49" s="92">
        <f>'B合計'!O42</f>
        <v>15030608</v>
      </c>
      <c r="P49" s="93">
        <f>'B合計'!P42</f>
        <v>15621182</v>
      </c>
      <c r="Q49" s="138">
        <f>SUM(K49:P49)</f>
        <v>94114345</v>
      </c>
      <c r="R49" s="140">
        <f>J49+Q49</f>
        <v>172728949</v>
      </c>
      <c r="S49" s="5"/>
    </row>
    <row r="50" spans="1:19" ht="13.5" thickBot="1">
      <c r="A50" s="164"/>
      <c r="B50" s="16" t="s">
        <v>31</v>
      </c>
      <c r="C50" s="14" t="s">
        <v>6</v>
      </c>
      <c r="D50" s="7">
        <f aca="true" t="shared" si="15" ref="D50:I50">IF(D49=0,"",(D49/D48)*1000)</f>
        <v>32382.700191407992</v>
      </c>
      <c r="E50" s="38">
        <f t="shared" si="15"/>
        <v>37550.02006688963</v>
      </c>
      <c r="F50" s="38">
        <f t="shared" si="15"/>
        <v>40337.544472551155</v>
      </c>
      <c r="G50" s="137">
        <f t="shared" si="15"/>
        <v>41289.7349358822</v>
      </c>
      <c r="H50" s="137">
        <f t="shared" si="15"/>
        <v>40388.424289574796</v>
      </c>
      <c r="I50" s="32">
        <f t="shared" si="15"/>
        <v>43459.01199943778</v>
      </c>
      <c r="J50" s="139">
        <f aca="true" t="shared" si="16" ref="J50:R50">IF(J49=0,"",(J49/J48)*1000)</f>
        <v>39386.962130909764</v>
      </c>
      <c r="K50" s="32">
        <f t="shared" si="16"/>
        <v>47152.97664425809</v>
      </c>
      <c r="L50" s="137">
        <f t="shared" si="16"/>
        <v>49917.49928954526</v>
      </c>
      <c r="M50" s="38">
        <f t="shared" si="16"/>
        <v>51549.38305523503</v>
      </c>
      <c r="N50" s="137">
        <f t="shared" si="16"/>
        <v>47453.41881464743</v>
      </c>
      <c r="O50" s="38">
        <f t="shared" si="16"/>
        <v>42666.77264327422</v>
      </c>
      <c r="P50" s="32">
        <f t="shared" si="16"/>
        <v>43026.091890388176</v>
      </c>
      <c r="Q50" s="139">
        <f t="shared" si="16"/>
        <v>46981.15698799343</v>
      </c>
      <c r="R50" s="141">
        <f t="shared" si="16"/>
        <v>43190.972624213246</v>
      </c>
      <c r="S50" s="5"/>
    </row>
    <row r="51" spans="1:18" ht="12.75">
      <c r="A51" s="162" t="s">
        <v>25</v>
      </c>
      <c r="B51" s="15" t="s">
        <v>27</v>
      </c>
      <c r="C51" s="13" t="s">
        <v>4</v>
      </c>
      <c r="D51" s="96">
        <f>'液化石油ガス'!D41</f>
        <v>70</v>
      </c>
      <c r="E51" s="97">
        <f>'液化石油ガス'!E41</f>
        <v>99</v>
      </c>
      <c r="F51" s="98">
        <f>'液化石油ガス'!F41</f>
        <v>36</v>
      </c>
      <c r="G51" s="97">
        <f>'液化石油ガス'!G41</f>
        <v>59</v>
      </c>
      <c r="H51" s="97">
        <f>'液化石油ガス'!H41</f>
        <v>24</v>
      </c>
      <c r="I51" s="99">
        <f>'液化石油ガス'!I41</f>
        <v>292</v>
      </c>
      <c r="J51" s="94">
        <f>SUM(D51:I51)</f>
        <v>580</v>
      </c>
      <c r="K51" s="99">
        <f>'液化石油ガス'!K41</f>
        <v>166</v>
      </c>
      <c r="L51" s="97">
        <f>'液化石油ガス'!L41</f>
        <v>378</v>
      </c>
      <c r="M51" s="98">
        <f>'液化石油ガス'!M41</f>
        <v>160</v>
      </c>
      <c r="N51" s="97">
        <f>'液化石油ガス'!N41</f>
        <v>55</v>
      </c>
      <c r="O51" s="97">
        <f>'液化石油ガス'!O41</f>
        <v>0</v>
      </c>
      <c r="P51" s="99">
        <f>'液化石油ガス'!P41</f>
        <v>12</v>
      </c>
      <c r="Q51" s="94">
        <f>SUM(K51:P51)</f>
        <v>771</v>
      </c>
      <c r="R51" s="100">
        <f>J51+Q51</f>
        <v>1351</v>
      </c>
    </row>
    <row r="52" spans="1:18" ht="12.75">
      <c r="A52" s="163"/>
      <c r="B52" s="15" t="s">
        <v>29</v>
      </c>
      <c r="C52" s="13" t="s">
        <v>5</v>
      </c>
      <c r="D52" s="101">
        <f>'液化石油ガス'!D42</f>
        <v>16075</v>
      </c>
      <c r="E52" s="102">
        <f>'液化石油ガス'!E42</f>
        <v>23330</v>
      </c>
      <c r="F52" s="103">
        <f>'液化石油ガス'!F42</f>
        <v>11004</v>
      </c>
      <c r="G52" s="102">
        <f>'液化石油ガス'!G42</f>
        <v>9977</v>
      </c>
      <c r="H52" s="102">
        <f>'液化石油ガス'!H42</f>
        <v>16598</v>
      </c>
      <c r="I52" s="104">
        <f>'液化石油ガス'!I42</f>
        <v>47633</v>
      </c>
      <c r="J52" s="94">
        <f>SUM(D52:I52)</f>
        <v>124617</v>
      </c>
      <c r="K52" s="104">
        <f>'液化石油ガス'!K42</f>
        <v>26425</v>
      </c>
      <c r="L52" s="102">
        <f>'液化石油ガス'!L42</f>
        <v>74291</v>
      </c>
      <c r="M52" s="102">
        <f>'液化石油ガス'!M42</f>
        <v>33961</v>
      </c>
      <c r="N52" s="102">
        <f>'液化石油ガス'!N42</f>
        <v>16920</v>
      </c>
      <c r="O52" s="102">
        <f>'液化石油ガス'!O42</f>
        <v>5066</v>
      </c>
      <c r="P52" s="104">
        <f>'液化石油ガス'!P42</f>
        <v>12702</v>
      </c>
      <c r="Q52" s="94">
        <f>SUM(K52:P52)</f>
        <v>169365</v>
      </c>
      <c r="R52" s="95">
        <f>J52+Q52</f>
        <v>293982</v>
      </c>
    </row>
    <row r="53" spans="1:18" ht="12.75" customHeight="1" thickBot="1">
      <c r="A53" s="164"/>
      <c r="B53" s="16" t="s">
        <v>31</v>
      </c>
      <c r="C53" s="14" t="s">
        <v>6</v>
      </c>
      <c r="D53" s="7">
        <f aca="true" t="shared" si="17" ref="D53:R53">IF(D52=0,"",(D52/D51)*1000)</f>
        <v>229642.85714285713</v>
      </c>
      <c r="E53" s="38">
        <f>IF(E52=0,,(E52/E51)*1000)</f>
        <v>235656.56565656565</v>
      </c>
      <c r="F53" s="38">
        <f>IF(F52=0,,(F52/F51)*1000)</f>
        <v>305666.6666666667</v>
      </c>
      <c r="G53" s="38">
        <f t="shared" si="17"/>
        <v>169101.69491525422</v>
      </c>
      <c r="H53" s="38">
        <f t="shared" si="17"/>
        <v>691583.3333333334</v>
      </c>
      <c r="I53" s="32">
        <f t="shared" si="17"/>
        <v>163126.7123287671</v>
      </c>
      <c r="J53" s="29">
        <f t="shared" si="17"/>
        <v>214856.89655172414</v>
      </c>
      <c r="K53" s="32">
        <f t="shared" si="17"/>
        <v>159186.7469879518</v>
      </c>
      <c r="L53" s="38">
        <f t="shared" si="17"/>
        <v>196537.03703703705</v>
      </c>
      <c r="M53" s="38">
        <f t="shared" si="17"/>
        <v>212256.25</v>
      </c>
      <c r="N53" s="38">
        <f t="shared" si="17"/>
        <v>307636.36363636365</v>
      </c>
      <c r="O53" s="38">
        <f>IF(O51=0,"",(O52/O51)*1000)</f>
      </c>
      <c r="P53" s="32">
        <f t="shared" si="17"/>
        <v>1058500</v>
      </c>
      <c r="Q53" s="29">
        <f t="shared" si="17"/>
        <v>219669.2607003891</v>
      </c>
      <c r="R53" s="26">
        <f t="shared" si="17"/>
        <v>217603.25684678016</v>
      </c>
    </row>
    <row r="54" ht="15.75" customHeight="1">
      <c r="A54" s="113"/>
    </row>
  </sheetData>
  <mergeCells count="19">
    <mergeCell ref="D2:P2"/>
    <mergeCell ref="A5:A7"/>
    <mergeCell ref="A8:A10"/>
    <mergeCell ref="A11:A13"/>
    <mergeCell ref="A38:A40"/>
    <mergeCell ref="A14:A16"/>
    <mergeCell ref="A17:A19"/>
    <mergeCell ref="A20:A22"/>
    <mergeCell ref="A23:A25"/>
    <mergeCell ref="Q3:R3"/>
    <mergeCell ref="A26:A28"/>
    <mergeCell ref="A51:A53"/>
    <mergeCell ref="A41:A43"/>
    <mergeCell ref="A44:C44"/>
    <mergeCell ref="A45:A47"/>
    <mergeCell ref="A48:A50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300" verticalDpi="300" orientation="landscape" paperSize="9" scale="72" r:id="rId1"/>
  <headerFooter alignWithMargins="0">
    <oddFooter>&amp;C&amp;20-10-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70" zoomScaleNormal="70" workbookViewId="0" topLeftCell="A2">
      <pane xSplit="3" ySplit="3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9.5742187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75</v>
      </c>
      <c r="C2" s="1"/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8" customHeight="1" thickBot="1">
      <c r="A3" s="21" t="s">
        <v>76</v>
      </c>
      <c r="B3" s="42" t="s">
        <v>77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4"/>
      <c r="R3" s="115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6" t="s">
        <v>32</v>
      </c>
      <c r="B5" s="47" t="s">
        <v>26</v>
      </c>
      <c r="C5" s="48" t="s">
        <v>4</v>
      </c>
      <c r="D5" s="118"/>
      <c r="E5" s="119"/>
      <c r="F5" s="119"/>
      <c r="G5" s="119"/>
      <c r="H5" s="119"/>
      <c r="I5" s="120"/>
      <c r="J5" s="121"/>
      <c r="K5" s="120"/>
      <c r="L5" s="119"/>
      <c r="M5" s="119"/>
      <c r="N5" s="67"/>
      <c r="O5" s="67"/>
      <c r="P5" s="68"/>
      <c r="Q5" s="108">
        <f>SUM(N5:P5)</f>
        <v>0</v>
      </c>
      <c r="R5" s="109">
        <f>Q5</f>
        <v>0</v>
      </c>
      <c r="S5" s="45"/>
    </row>
    <row r="6" spans="1:19" s="46" customFormat="1" ht="13.5" customHeight="1">
      <c r="A6" s="143"/>
      <c r="B6" s="47" t="s">
        <v>28</v>
      </c>
      <c r="C6" s="48" t="s">
        <v>5</v>
      </c>
      <c r="D6" s="118"/>
      <c r="E6" s="119"/>
      <c r="F6" s="119"/>
      <c r="G6" s="119"/>
      <c r="H6" s="119"/>
      <c r="I6" s="120"/>
      <c r="J6" s="121"/>
      <c r="K6" s="117"/>
      <c r="L6" s="116"/>
      <c r="M6" s="116"/>
      <c r="N6" s="106"/>
      <c r="O6" s="106"/>
      <c r="P6" s="107"/>
      <c r="Q6" s="108">
        <f>SUM(N6:P6)</f>
        <v>0</v>
      </c>
      <c r="R6" s="109">
        <f>Q6</f>
        <v>0</v>
      </c>
      <c r="S6" s="45"/>
    </row>
    <row r="7" spans="1:19" s="46" customFormat="1" ht="13.5" customHeight="1" thickBot="1">
      <c r="A7" s="144"/>
      <c r="B7" s="20" t="s">
        <v>30</v>
      </c>
      <c r="C7" s="55" t="s">
        <v>6</v>
      </c>
      <c r="D7" s="123">
        <f aca="true" t="shared" si="0" ref="D7:M7">IF(D5=0,,D6/D5*1000)</f>
        <v>0</v>
      </c>
      <c r="E7" s="124">
        <f t="shared" si="0"/>
        <v>0</v>
      </c>
      <c r="F7" s="124">
        <f t="shared" si="0"/>
        <v>0</v>
      </c>
      <c r="G7" s="124">
        <f t="shared" si="0"/>
        <v>0</v>
      </c>
      <c r="H7" s="124">
        <f t="shared" si="0"/>
        <v>0</v>
      </c>
      <c r="I7" s="125">
        <f t="shared" si="0"/>
        <v>0</v>
      </c>
      <c r="J7" s="126">
        <f t="shared" si="0"/>
        <v>0</v>
      </c>
      <c r="K7" s="125">
        <f t="shared" si="0"/>
        <v>0</v>
      </c>
      <c r="L7" s="124">
        <f t="shared" si="0"/>
        <v>0</v>
      </c>
      <c r="M7" s="124">
        <f t="shared" si="0"/>
        <v>0</v>
      </c>
      <c r="N7" s="56">
        <f>IF(N5=0,,N6/N5*1000)</f>
        <v>0</v>
      </c>
      <c r="O7" s="56">
        <f>IF(O5=0,,O6/O5*1000)</f>
        <v>0</v>
      </c>
      <c r="P7" s="57">
        <f>IF(P5=0,,P6/P5*1000)</f>
        <v>0</v>
      </c>
      <c r="Q7" s="58">
        <f>IF(Q5=0,,Q6/Q5*1000)</f>
        <v>0</v>
      </c>
      <c r="R7" s="59">
        <f>IF(R5=0,,(R6/R5)*1000)</f>
        <v>0</v>
      </c>
      <c r="S7" s="60"/>
    </row>
    <row r="8" spans="1:19" s="46" customFormat="1" ht="13.5" customHeight="1">
      <c r="A8" s="142" t="s">
        <v>33</v>
      </c>
      <c r="B8" s="47" t="s">
        <v>26</v>
      </c>
      <c r="C8" s="48" t="s">
        <v>4</v>
      </c>
      <c r="D8" s="122"/>
      <c r="E8" s="119"/>
      <c r="F8" s="119"/>
      <c r="G8" s="119"/>
      <c r="H8" s="119"/>
      <c r="I8" s="120"/>
      <c r="J8" s="121"/>
      <c r="K8" s="120"/>
      <c r="L8" s="119"/>
      <c r="M8" s="119"/>
      <c r="N8" s="67"/>
      <c r="O8" s="67"/>
      <c r="P8" s="68"/>
      <c r="Q8" s="108">
        <f>SUM(N8:P8)</f>
        <v>0</v>
      </c>
      <c r="R8" s="109">
        <f>Q8</f>
        <v>0</v>
      </c>
      <c r="S8" s="45"/>
    </row>
    <row r="9" spans="1:19" s="46" customFormat="1" ht="13.5" customHeight="1">
      <c r="A9" s="143"/>
      <c r="B9" s="47" t="s">
        <v>28</v>
      </c>
      <c r="C9" s="48" t="s">
        <v>5</v>
      </c>
      <c r="D9" s="122"/>
      <c r="E9" s="119"/>
      <c r="F9" s="119"/>
      <c r="G9" s="119"/>
      <c r="H9" s="119"/>
      <c r="I9" s="120"/>
      <c r="J9" s="121"/>
      <c r="K9" s="117"/>
      <c r="L9" s="116"/>
      <c r="M9" s="116"/>
      <c r="N9" s="106"/>
      <c r="O9" s="106"/>
      <c r="P9" s="107"/>
      <c r="Q9" s="108">
        <f>SUM(N9:P9)</f>
        <v>0</v>
      </c>
      <c r="R9" s="109">
        <f>Q9</f>
        <v>0</v>
      </c>
      <c r="S9" s="45"/>
    </row>
    <row r="10" spans="1:19" s="46" customFormat="1" ht="13.5" customHeight="1" thickBot="1">
      <c r="A10" s="144"/>
      <c r="B10" s="20" t="s">
        <v>30</v>
      </c>
      <c r="C10" s="55" t="s">
        <v>6</v>
      </c>
      <c r="D10" s="123">
        <f aca="true" t="shared" si="1" ref="D10:Q10">IF(D8=0,,D9/D8*1000)</f>
        <v>0</v>
      </c>
      <c r="E10" s="124">
        <f t="shared" si="1"/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5">
        <f t="shared" si="1"/>
        <v>0</v>
      </c>
      <c r="J10" s="126">
        <f t="shared" si="1"/>
        <v>0</v>
      </c>
      <c r="K10" s="125">
        <f t="shared" si="1"/>
        <v>0</v>
      </c>
      <c r="L10" s="124">
        <f t="shared" si="1"/>
        <v>0</v>
      </c>
      <c r="M10" s="124">
        <f t="shared" si="1"/>
        <v>0</v>
      </c>
      <c r="N10" s="56">
        <f t="shared" si="1"/>
        <v>0</v>
      </c>
      <c r="O10" s="56">
        <f t="shared" si="1"/>
        <v>0</v>
      </c>
      <c r="P10" s="57">
        <f t="shared" si="1"/>
        <v>0</v>
      </c>
      <c r="Q10" s="58">
        <f t="shared" si="1"/>
        <v>0</v>
      </c>
      <c r="R10" s="59">
        <f>IF(R8=0,,(R9/R8)*1000)</f>
        <v>0</v>
      </c>
      <c r="S10" s="45"/>
    </row>
    <row r="11" spans="1:19" s="46" customFormat="1" ht="13.5" customHeight="1">
      <c r="A11" s="142" t="s">
        <v>35</v>
      </c>
      <c r="B11" s="47" t="s">
        <v>26</v>
      </c>
      <c r="C11" s="48" t="s">
        <v>4</v>
      </c>
      <c r="D11" s="118"/>
      <c r="E11" s="119"/>
      <c r="F11" s="119"/>
      <c r="G11" s="119"/>
      <c r="H11" s="119"/>
      <c r="I11" s="120"/>
      <c r="J11" s="121"/>
      <c r="K11" s="120"/>
      <c r="L11" s="119"/>
      <c r="M11" s="119"/>
      <c r="N11" s="67"/>
      <c r="O11" s="67"/>
      <c r="P11" s="68"/>
      <c r="Q11" s="108">
        <f>SUM(N11:P11)</f>
        <v>0</v>
      </c>
      <c r="R11" s="109">
        <f>Q11</f>
        <v>0</v>
      </c>
      <c r="S11" s="45"/>
    </row>
    <row r="12" spans="1:19" s="46" customFormat="1" ht="13.5" customHeight="1">
      <c r="A12" s="143"/>
      <c r="B12" s="47" t="s">
        <v>28</v>
      </c>
      <c r="C12" s="48" t="s">
        <v>5</v>
      </c>
      <c r="D12" s="118"/>
      <c r="E12" s="116"/>
      <c r="F12" s="116"/>
      <c r="G12" s="116"/>
      <c r="H12" s="116"/>
      <c r="I12" s="120"/>
      <c r="J12" s="121"/>
      <c r="K12" s="117"/>
      <c r="L12" s="116"/>
      <c r="M12" s="116"/>
      <c r="N12" s="106"/>
      <c r="O12" s="106"/>
      <c r="P12" s="107"/>
      <c r="Q12" s="108">
        <f>SUM(N12:P12)</f>
        <v>0</v>
      </c>
      <c r="R12" s="109">
        <f>Q12</f>
        <v>0</v>
      </c>
      <c r="S12" s="45"/>
    </row>
    <row r="13" spans="1:19" s="46" customFormat="1" ht="13.5" customHeight="1" thickBot="1">
      <c r="A13" s="144"/>
      <c r="B13" s="20" t="s">
        <v>30</v>
      </c>
      <c r="C13" s="55" t="s">
        <v>6</v>
      </c>
      <c r="D13" s="123">
        <f aca="true" t="shared" si="2" ref="D13:Q13">IF(D11=0,,D12/D11*1000)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5">
        <f t="shared" si="2"/>
        <v>0</v>
      </c>
      <c r="J13" s="126">
        <f t="shared" si="2"/>
        <v>0</v>
      </c>
      <c r="K13" s="125">
        <f t="shared" si="2"/>
        <v>0</v>
      </c>
      <c r="L13" s="124">
        <f t="shared" si="2"/>
        <v>0</v>
      </c>
      <c r="M13" s="124">
        <f t="shared" si="2"/>
        <v>0</v>
      </c>
      <c r="N13" s="56">
        <f t="shared" si="2"/>
        <v>0</v>
      </c>
      <c r="O13" s="56">
        <f t="shared" si="2"/>
        <v>0</v>
      </c>
      <c r="P13" s="57">
        <f t="shared" si="2"/>
        <v>0</v>
      </c>
      <c r="Q13" s="58">
        <f t="shared" si="2"/>
        <v>0</v>
      </c>
      <c r="R13" s="59">
        <f>IF(R11=0,,(R12/R11)*1000)</f>
        <v>0</v>
      </c>
      <c r="S13" s="60"/>
    </row>
    <row r="14" spans="1:19" s="46" customFormat="1" ht="13.5" customHeight="1">
      <c r="A14" s="142" t="s">
        <v>37</v>
      </c>
      <c r="B14" s="47" t="s">
        <v>26</v>
      </c>
      <c r="C14" s="48" t="s">
        <v>4</v>
      </c>
      <c r="D14" s="118"/>
      <c r="E14" s="119"/>
      <c r="F14" s="119"/>
      <c r="G14" s="119"/>
      <c r="H14" s="119"/>
      <c r="I14" s="120"/>
      <c r="J14" s="121"/>
      <c r="K14" s="120"/>
      <c r="L14" s="119"/>
      <c r="M14" s="119"/>
      <c r="N14" s="67"/>
      <c r="O14" s="67"/>
      <c r="P14" s="68"/>
      <c r="Q14" s="108">
        <f>SUM(N14:P14)</f>
        <v>0</v>
      </c>
      <c r="R14" s="109">
        <f>Q14</f>
        <v>0</v>
      </c>
      <c r="S14" s="45"/>
    </row>
    <row r="15" spans="1:19" s="46" customFormat="1" ht="13.5" customHeight="1">
      <c r="A15" s="143"/>
      <c r="B15" s="47" t="s">
        <v>28</v>
      </c>
      <c r="C15" s="48" t="s">
        <v>5</v>
      </c>
      <c r="D15" s="118"/>
      <c r="E15" s="116"/>
      <c r="F15" s="119"/>
      <c r="G15" s="116"/>
      <c r="H15" s="116"/>
      <c r="I15" s="117"/>
      <c r="J15" s="121"/>
      <c r="K15" s="117"/>
      <c r="L15" s="116"/>
      <c r="M15" s="116"/>
      <c r="N15" s="106"/>
      <c r="O15" s="106"/>
      <c r="P15" s="107"/>
      <c r="Q15" s="108">
        <f>SUM(N15:P15)</f>
        <v>0</v>
      </c>
      <c r="R15" s="109">
        <f>Q15</f>
        <v>0</v>
      </c>
      <c r="S15" s="45"/>
    </row>
    <row r="16" spans="1:19" s="46" customFormat="1" ht="13.5" customHeight="1" thickBot="1">
      <c r="A16" s="144"/>
      <c r="B16" s="20" t="s">
        <v>30</v>
      </c>
      <c r="C16" s="55" t="s">
        <v>6</v>
      </c>
      <c r="D16" s="123">
        <f aca="true" t="shared" si="3" ref="D16:Q16">IF(D14=0,,D15/D14*1000)</f>
        <v>0</v>
      </c>
      <c r="E16" s="124">
        <f t="shared" si="3"/>
        <v>0</v>
      </c>
      <c r="F16" s="124">
        <f t="shared" si="3"/>
        <v>0</v>
      </c>
      <c r="G16" s="124">
        <f t="shared" si="3"/>
        <v>0</v>
      </c>
      <c r="H16" s="124">
        <f t="shared" si="3"/>
        <v>0</v>
      </c>
      <c r="I16" s="125">
        <f t="shared" si="3"/>
        <v>0</v>
      </c>
      <c r="J16" s="126">
        <f t="shared" si="3"/>
        <v>0</v>
      </c>
      <c r="K16" s="125">
        <f t="shared" si="3"/>
        <v>0</v>
      </c>
      <c r="L16" s="124">
        <f t="shared" si="3"/>
        <v>0</v>
      </c>
      <c r="M16" s="124">
        <f t="shared" si="3"/>
        <v>0</v>
      </c>
      <c r="N16" s="56">
        <f t="shared" si="3"/>
        <v>0</v>
      </c>
      <c r="O16" s="56">
        <f t="shared" si="3"/>
        <v>0</v>
      </c>
      <c r="P16" s="57">
        <f t="shared" si="3"/>
        <v>0</v>
      </c>
      <c r="Q16" s="58">
        <f t="shared" si="3"/>
        <v>0</v>
      </c>
      <c r="R16" s="59">
        <f>IF(R14=0,,(R15/R14)*1000)</f>
        <v>0</v>
      </c>
      <c r="S16" s="60"/>
    </row>
    <row r="17" spans="1:19" s="46" customFormat="1" ht="13.5" customHeight="1">
      <c r="A17" s="142" t="s">
        <v>39</v>
      </c>
      <c r="B17" s="47" t="s">
        <v>26</v>
      </c>
      <c r="C17" s="48" t="s">
        <v>4</v>
      </c>
      <c r="D17" s="118"/>
      <c r="E17" s="119"/>
      <c r="F17" s="119"/>
      <c r="G17" s="119"/>
      <c r="H17" s="119"/>
      <c r="I17" s="120"/>
      <c r="J17" s="121"/>
      <c r="K17" s="120"/>
      <c r="L17" s="119"/>
      <c r="M17" s="119"/>
      <c r="N17" s="67"/>
      <c r="O17" s="67"/>
      <c r="P17" s="68"/>
      <c r="Q17" s="108">
        <f>SUM(N17:P17)</f>
        <v>0</v>
      </c>
      <c r="R17" s="109">
        <f>Q17</f>
        <v>0</v>
      </c>
      <c r="S17" s="45"/>
    </row>
    <row r="18" spans="1:19" s="46" customFormat="1" ht="13.5" customHeight="1">
      <c r="A18" s="143"/>
      <c r="B18" s="47" t="s">
        <v>28</v>
      </c>
      <c r="C18" s="48" t="s">
        <v>5</v>
      </c>
      <c r="D18" s="118"/>
      <c r="E18" s="119"/>
      <c r="F18" s="119"/>
      <c r="G18" s="119"/>
      <c r="H18" s="119"/>
      <c r="I18" s="120"/>
      <c r="J18" s="121"/>
      <c r="K18" s="117"/>
      <c r="L18" s="116"/>
      <c r="M18" s="116"/>
      <c r="N18" s="106"/>
      <c r="O18" s="106"/>
      <c r="P18" s="107"/>
      <c r="Q18" s="108">
        <f>SUM(N18:P18)</f>
        <v>0</v>
      </c>
      <c r="R18" s="109">
        <f>Q18</f>
        <v>0</v>
      </c>
      <c r="S18" s="45"/>
    </row>
    <row r="19" spans="1:19" s="46" customFormat="1" ht="13.5" customHeight="1" thickBot="1">
      <c r="A19" s="144"/>
      <c r="B19" s="20" t="s">
        <v>30</v>
      </c>
      <c r="C19" s="55" t="s">
        <v>6</v>
      </c>
      <c r="D19" s="123">
        <f aca="true" t="shared" si="4" ref="D19:Q19">IF(D17=0,,D18/D17*1000)</f>
        <v>0</v>
      </c>
      <c r="E19" s="124">
        <f t="shared" si="4"/>
        <v>0</v>
      </c>
      <c r="F19" s="124">
        <f t="shared" si="4"/>
        <v>0</v>
      </c>
      <c r="G19" s="124">
        <f t="shared" si="4"/>
        <v>0</v>
      </c>
      <c r="H19" s="124">
        <f t="shared" si="4"/>
        <v>0</v>
      </c>
      <c r="I19" s="125">
        <f t="shared" si="4"/>
        <v>0</v>
      </c>
      <c r="J19" s="126">
        <f t="shared" si="4"/>
        <v>0</v>
      </c>
      <c r="K19" s="125">
        <f t="shared" si="4"/>
        <v>0</v>
      </c>
      <c r="L19" s="124">
        <f t="shared" si="4"/>
        <v>0</v>
      </c>
      <c r="M19" s="124">
        <f t="shared" si="4"/>
        <v>0</v>
      </c>
      <c r="N19" s="56">
        <f t="shared" si="4"/>
        <v>0</v>
      </c>
      <c r="O19" s="56">
        <f t="shared" si="4"/>
        <v>0</v>
      </c>
      <c r="P19" s="57">
        <f t="shared" si="4"/>
        <v>0</v>
      </c>
      <c r="Q19" s="58">
        <f t="shared" si="4"/>
        <v>0</v>
      </c>
      <c r="R19" s="59">
        <f>IF(R17=0,,(R18/R17)*1000)</f>
        <v>0</v>
      </c>
      <c r="S19" s="60"/>
    </row>
    <row r="20" spans="1:19" s="46" customFormat="1" ht="13.5" customHeight="1">
      <c r="A20" s="151" t="s">
        <v>41</v>
      </c>
      <c r="B20" s="47" t="s">
        <v>26</v>
      </c>
      <c r="C20" s="48" t="s">
        <v>4</v>
      </c>
      <c r="D20" s="118"/>
      <c r="E20" s="119"/>
      <c r="F20" s="119"/>
      <c r="G20" s="119"/>
      <c r="H20" s="119"/>
      <c r="I20" s="120"/>
      <c r="J20" s="121"/>
      <c r="K20" s="120"/>
      <c r="L20" s="119"/>
      <c r="M20" s="119"/>
      <c r="N20" s="67"/>
      <c r="O20" s="67"/>
      <c r="P20" s="68"/>
      <c r="Q20" s="108">
        <f>SUM(N20:P20)</f>
        <v>0</v>
      </c>
      <c r="R20" s="109">
        <f>Q20</f>
        <v>0</v>
      </c>
      <c r="S20" s="45"/>
    </row>
    <row r="21" spans="1:19" s="46" customFormat="1" ht="13.5" customHeight="1">
      <c r="A21" s="152"/>
      <c r="B21" s="47" t="s">
        <v>28</v>
      </c>
      <c r="C21" s="48" t="s">
        <v>5</v>
      </c>
      <c r="D21" s="118"/>
      <c r="E21" s="119"/>
      <c r="F21" s="119"/>
      <c r="G21" s="119"/>
      <c r="H21" s="119"/>
      <c r="I21" s="120"/>
      <c r="J21" s="121"/>
      <c r="K21" s="117"/>
      <c r="L21" s="116"/>
      <c r="M21" s="116"/>
      <c r="N21" s="106"/>
      <c r="O21" s="106"/>
      <c r="P21" s="107"/>
      <c r="Q21" s="108">
        <f>SUM(N21:P21)</f>
        <v>0</v>
      </c>
      <c r="R21" s="109">
        <f>Q21</f>
        <v>0</v>
      </c>
      <c r="S21" s="45"/>
    </row>
    <row r="22" spans="1:19" s="46" customFormat="1" ht="13.5" customHeight="1" thickBot="1">
      <c r="A22" s="153"/>
      <c r="B22" s="20" t="s">
        <v>30</v>
      </c>
      <c r="C22" s="55" t="s">
        <v>6</v>
      </c>
      <c r="D22" s="123">
        <f aca="true" t="shared" si="5" ref="D22:Q22">IF(D20=0,,D21/D20*1000)</f>
        <v>0</v>
      </c>
      <c r="E22" s="124">
        <f t="shared" si="5"/>
        <v>0</v>
      </c>
      <c r="F22" s="124">
        <f t="shared" si="5"/>
        <v>0</v>
      </c>
      <c r="G22" s="124">
        <f t="shared" si="5"/>
        <v>0</v>
      </c>
      <c r="H22" s="124">
        <f t="shared" si="5"/>
        <v>0</v>
      </c>
      <c r="I22" s="125">
        <f t="shared" si="5"/>
        <v>0</v>
      </c>
      <c r="J22" s="126">
        <f t="shared" si="5"/>
        <v>0</v>
      </c>
      <c r="K22" s="125">
        <f t="shared" si="5"/>
        <v>0</v>
      </c>
      <c r="L22" s="124">
        <f t="shared" si="5"/>
        <v>0</v>
      </c>
      <c r="M22" s="124">
        <f t="shared" si="5"/>
        <v>0</v>
      </c>
      <c r="N22" s="56">
        <f t="shared" si="5"/>
        <v>0</v>
      </c>
      <c r="O22" s="56">
        <f t="shared" si="5"/>
        <v>0</v>
      </c>
      <c r="P22" s="57">
        <f t="shared" si="5"/>
        <v>0</v>
      </c>
      <c r="Q22" s="58">
        <f t="shared" si="5"/>
        <v>0</v>
      </c>
      <c r="R22" s="59">
        <f>IF(R20=0,,(R21/R20)*1000)</f>
        <v>0</v>
      </c>
      <c r="S22" s="60"/>
    </row>
    <row r="23" spans="1:19" s="46" customFormat="1" ht="13.5" customHeight="1">
      <c r="A23" s="142" t="s">
        <v>42</v>
      </c>
      <c r="B23" s="47" t="s">
        <v>26</v>
      </c>
      <c r="C23" s="48" t="s">
        <v>4</v>
      </c>
      <c r="D23" s="118"/>
      <c r="E23" s="119"/>
      <c r="F23" s="119"/>
      <c r="G23" s="119"/>
      <c r="H23" s="119"/>
      <c r="I23" s="120"/>
      <c r="J23" s="121"/>
      <c r="K23" s="120"/>
      <c r="L23" s="119"/>
      <c r="M23" s="119"/>
      <c r="N23" s="67"/>
      <c r="O23" s="67"/>
      <c r="P23" s="68"/>
      <c r="Q23" s="108">
        <f>SUM(N23:P23)</f>
        <v>0</v>
      </c>
      <c r="R23" s="109">
        <f>Q23</f>
        <v>0</v>
      </c>
      <c r="S23" s="45"/>
    </row>
    <row r="24" spans="1:19" s="46" customFormat="1" ht="13.5" customHeight="1">
      <c r="A24" s="143"/>
      <c r="B24" s="47" t="s">
        <v>28</v>
      </c>
      <c r="C24" s="48" t="s">
        <v>5</v>
      </c>
      <c r="D24" s="118"/>
      <c r="E24" s="119"/>
      <c r="F24" s="119"/>
      <c r="G24" s="119"/>
      <c r="H24" s="119"/>
      <c r="I24" s="120"/>
      <c r="J24" s="121"/>
      <c r="K24" s="117"/>
      <c r="L24" s="116"/>
      <c r="M24" s="116"/>
      <c r="N24" s="106"/>
      <c r="O24" s="106"/>
      <c r="P24" s="107"/>
      <c r="Q24" s="108">
        <f>SUM(N24:P24)</f>
        <v>0</v>
      </c>
      <c r="R24" s="109">
        <f>Q24</f>
        <v>0</v>
      </c>
      <c r="S24" s="45"/>
    </row>
    <row r="25" spans="1:19" s="46" customFormat="1" ht="13.5" customHeight="1" thickBot="1">
      <c r="A25" s="144"/>
      <c r="B25" s="20" t="s">
        <v>30</v>
      </c>
      <c r="C25" s="55" t="s">
        <v>6</v>
      </c>
      <c r="D25" s="123">
        <f aca="true" t="shared" si="6" ref="D25:Q25">IF(D23=0,,D24/D23*1000)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5">
        <f t="shared" si="6"/>
        <v>0</v>
      </c>
      <c r="J25" s="126">
        <f t="shared" si="6"/>
        <v>0</v>
      </c>
      <c r="K25" s="125">
        <f t="shared" si="6"/>
        <v>0</v>
      </c>
      <c r="L25" s="124">
        <f t="shared" si="6"/>
        <v>0</v>
      </c>
      <c r="M25" s="124">
        <f t="shared" si="6"/>
        <v>0</v>
      </c>
      <c r="N25" s="56">
        <f t="shared" si="6"/>
        <v>0</v>
      </c>
      <c r="O25" s="56">
        <f t="shared" si="6"/>
        <v>0</v>
      </c>
      <c r="P25" s="57">
        <f t="shared" si="6"/>
        <v>0</v>
      </c>
      <c r="Q25" s="58">
        <f t="shared" si="6"/>
        <v>0</v>
      </c>
      <c r="R25" s="59">
        <f>IF(R23=0,,(R24/R23)*1000)</f>
        <v>0</v>
      </c>
      <c r="S25" s="60"/>
    </row>
    <row r="26" spans="1:19" s="46" customFormat="1" ht="13.5" customHeight="1">
      <c r="A26" s="142" t="s">
        <v>44</v>
      </c>
      <c r="B26" s="47" t="s">
        <v>26</v>
      </c>
      <c r="C26" s="48" t="s">
        <v>4</v>
      </c>
      <c r="D26" s="118"/>
      <c r="E26" s="119"/>
      <c r="F26" s="119"/>
      <c r="G26" s="119"/>
      <c r="H26" s="119"/>
      <c r="I26" s="120"/>
      <c r="J26" s="121"/>
      <c r="K26" s="120"/>
      <c r="L26" s="119"/>
      <c r="M26" s="119"/>
      <c r="N26" s="67"/>
      <c r="O26" s="67"/>
      <c r="P26" s="68"/>
      <c r="Q26" s="108">
        <f>SUM(N26:P26)</f>
        <v>0</v>
      </c>
      <c r="R26" s="109">
        <f>Q26</f>
        <v>0</v>
      </c>
      <c r="S26" s="45"/>
    </row>
    <row r="27" spans="1:19" s="46" customFormat="1" ht="13.5" customHeight="1">
      <c r="A27" s="143"/>
      <c r="B27" s="47" t="s">
        <v>28</v>
      </c>
      <c r="C27" s="48" t="s">
        <v>5</v>
      </c>
      <c r="D27" s="118"/>
      <c r="E27" s="119"/>
      <c r="F27" s="119"/>
      <c r="G27" s="119"/>
      <c r="H27" s="119"/>
      <c r="I27" s="120"/>
      <c r="J27" s="121"/>
      <c r="K27" s="117"/>
      <c r="L27" s="116"/>
      <c r="M27" s="116"/>
      <c r="N27" s="106"/>
      <c r="O27" s="106"/>
      <c r="P27" s="107"/>
      <c r="Q27" s="108">
        <f>SUM(N27:P27)</f>
        <v>0</v>
      </c>
      <c r="R27" s="109">
        <f>Q27</f>
        <v>0</v>
      </c>
      <c r="S27" s="45"/>
    </row>
    <row r="28" spans="1:19" s="46" customFormat="1" ht="13.5" customHeight="1" thickBot="1">
      <c r="A28" s="144"/>
      <c r="B28" s="20" t="s">
        <v>30</v>
      </c>
      <c r="C28" s="55" t="s">
        <v>6</v>
      </c>
      <c r="D28" s="123">
        <f aca="true" t="shared" si="7" ref="D28:Q28">IF(D26=0,,D27/D26*1000)</f>
        <v>0</v>
      </c>
      <c r="E28" s="124">
        <f t="shared" si="7"/>
        <v>0</v>
      </c>
      <c r="F28" s="124">
        <f t="shared" si="7"/>
        <v>0</v>
      </c>
      <c r="G28" s="124">
        <f t="shared" si="7"/>
        <v>0</v>
      </c>
      <c r="H28" s="124">
        <f t="shared" si="7"/>
        <v>0</v>
      </c>
      <c r="I28" s="125">
        <f t="shared" si="7"/>
        <v>0</v>
      </c>
      <c r="J28" s="126">
        <f t="shared" si="7"/>
        <v>0</v>
      </c>
      <c r="K28" s="125">
        <f t="shared" si="7"/>
        <v>0</v>
      </c>
      <c r="L28" s="124">
        <f t="shared" si="7"/>
        <v>0</v>
      </c>
      <c r="M28" s="124">
        <f t="shared" si="7"/>
        <v>0</v>
      </c>
      <c r="N28" s="56">
        <f t="shared" si="7"/>
        <v>0</v>
      </c>
      <c r="O28" s="56">
        <f t="shared" si="7"/>
        <v>0</v>
      </c>
      <c r="P28" s="57">
        <f t="shared" si="7"/>
        <v>0</v>
      </c>
      <c r="Q28" s="58">
        <f t="shared" si="7"/>
        <v>0</v>
      </c>
      <c r="R28" s="59">
        <f>IF(R26=0,,(R27/R26)*1000)</f>
        <v>0</v>
      </c>
      <c r="S28" s="60"/>
    </row>
    <row r="29" spans="1:19" s="46" customFormat="1" ht="13.5" customHeight="1">
      <c r="A29" s="142" t="s">
        <v>46</v>
      </c>
      <c r="B29" s="47" t="s">
        <v>26</v>
      </c>
      <c r="C29" s="48" t="s">
        <v>4</v>
      </c>
      <c r="D29" s="118"/>
      <c r="E29" s="119"/>
      <c r="F29" s="119"/>
      <c r="G29" s="119"/>
      <c r="H29" s="119"/>
      <c r="I29" s="120"/>
      <c r="J29" s="121"/>
      <c r="K29" s="120"/>
      <c r="L29" s="119"/>
      <c r="M29" s="119"/>
      <c r="N29" s="67"/>
      <c r="O29" s="67"/>
      <c r="P29" s="68"/>
      <c r="Q29" s="108">
        <f>SUM(N29:P29)</f>
        <v>0</v>
      </c>
      <c r="R29" s="109">
        <f>Q29</f>
        <v>0</v>
      </c>
      <c r="S29" s="45"/>
    </row>
    <row r="30" spans="1:19" s="46" customFormat="1" ht="13.5" customHeight="1">
      <c r="A30" s="143"/>
      <c r="B30" s="47" t="s">
        <v>28</v>
      </c>
      <c r="C30" s="48" t="s">
        <v>5</v>
      </c>
      <c r="D30" s="118"/>
      <c r="E30" s="119"/>
      <c r="F30" s="116"/>
      <c r="G30" s="119"/>
      <c r="H30" s="116"/>
      <c r="I30" s="117"/>
      <c r="J30" s="121"/>
      <c r="K30" s="117"/>
      <c r="L30" s="116"/>
      <c r="M30" s="116"/>
      <c r="N30" s="106"/>
      <c r="O30" s="106"/>
      <c r="P30" s="107"/>
      <c r="Q30" s="108">
        <f>SUM(N30:P30)</f>
        <v>0</v>
      </c>
      <c r="R30" s="109">
        <f>Q30</f>
        <v>0</v>
      </c>
      <c r="S30" s="45"/>
    </row>
    <row r="31" spans="1:19" s="46" customFormat="1" ht="13.5" customHeight="1" thickBot="1">
      <c r="A31" s="144"/>
      <c r="B31" s="20" t="s">
        <v>30</v>
      </c>
      <c r="C31" s="55" t="s">
        <v>6</v>
      </c>
      <c r="D31" s="123">
        <f aca="true" t="shared" si="8" ref="D31:Q31">IF(D29=0,,D30/D29*1000)</f>
        <v>0</v>
      </c>
      <c r="E31" s="124">
        <f t="shared" si="8"/>
        <v>0</v>
      </c>
      <c r="F31" s="124">
        <f t="shared" si="8"/>
        <v>0</v>
      </c>
      <c r="G31" s="124">
        <f t="shared" si="8"/>
        <v>0</v>
      </c>
      <c r="H31" s="124">
        <f t="shared" si="8"/>
        <v>0</v>
      </c>
      <c r="I31" s="125">
        <f t="shared" si="8"/>
        <v>0</v>
      </c>
      <c r="J31" s="126">
        <f t="shared" si="8"/>
        <v>0</v>
      </c>
      <c r="K31" s="125">
        <f t="shared" si="8"/>
        <v>0</v>
      </c>
      <c r="L31" s="124">
        <f t="shared" si="8"/>
        <v>0</v>
      </c>
      <c r="M31" s="124">
        <f t="shared" si="8"/>
        <v>0</v>
      </c>
      <c r="N31" s="56">
        <f t="shared" si="8"/>
        <v>0</v>
      </c>
      <c r="O31" s="56">
        <f t="shared" si="8"/>
        <v>0</v>
      </c>
      <c r="P31" s="57">
        <f t="shared" si="8"/>
        <v>0</v>
      </c>
      <c r="Q31" s="58">
        <f t="shared" si="8"/>
        <v>0</v>
      </c>
      <c r="R31" s="59">
        <f>IF(R29=0,,(R30/R29)*1000)</f>
        <v>0</v>
      </c>
      <c r="S31" s="60"/>
    </row>
    <row r="32" spans="1:19" s="46" customFormat="1" ht="13.5" customHeight="1">
      <c r="A32" s="142" t="s">
        <v>48</v>
      </c>
      <c r="B32" s="47" t="s">
        <v>26</v>
      </c>
      <c r="C32" s="48" t="s">
        <v>4</v>
      </c>
      <c r="D32" s="118"/>
      <c r="E32" s="119"/>
      <c r="F32" s="119"/>
      <c r="G32" s="119"/>
      <c r="H32" s="119"/>
      <c r="I32" s="120"/>
      <c r="J32" s="121"/>
      <c r="K32" s="120"/>
      <c r="L32" s="119"/>
      <c r="M32" s="119"/>
      <c r="N32" s="67"/>
      <c r="O32" s="67"/>
      <c r="P32" s="68"/>
      <c r="Q32" s="108">
        <f>SUM(N32:P32)</f>
        <v>0</v>
      </c>
      <c r="R32" s="109">
        <f>Q32</f>
        <v>0</v>
      </c>
      <c r="S32" s="45"/>
    </row>
    <row r="33" spans="1:19" s="46" customFormat="1" ht="13.5" customHeight="1">
      <c r="A33" s="143"/>
      <c r="B33" s="47" t="s">
        <v>28</v>
      </c>
      <c r="C33" s="48" t="s">
        <v>5</v>
      </c>
      <c r="D33" s="118"/>
      <c r="E33" s="116"/>
      <c r="F33" s="116"/>
      <c r="G33" s="116"/>
      <c r="H33" s="116"/>
      <c r="I33" s="117"/>
      <c r="J33" s="121"/>
      <c r="K33" s="117"/>
      <c r="L33" s="116"/>
      <c r="M33" s="116"/>
      <c r="N33" s="106"/>
      <c r="O33" s="106"/>
      <c r="P33" s="107"/>
      <c r="Q33" s="108">
        <f>SUM(N33:P33)</f>
        <v>0</v>
      </c>
      <c r="R33" s="109">
        <f>Q33</f>
        <v>0</v>
      </c>
      <c r="S33" s="45"/>
    </row>
    <row r="34" spans="1:19" s="46" customFormat="1" ht="13.5" customHeight="1" thickBot="1">
      <c r="A34" s="144"/>
      <c r="B34" s="20" t="s">
        <v>30</v>
      </c>
      <c r="C34" s="55" t="s">
        <v>6</v>
      </c>
      <c r="D34" s="123">
        <f aca="true" t="shared" si="9" ref="D34:Q34">IF(D32=0,,D33/D32*1000)</f>
        <v>0</v>
      </c>
      <c r="E34" s="124">
        <f t="shared" si="9"/>
        <v>0</v>
      </c>
      <c r="F34" s="124">
        <f t="shared" si="9"/>
        <v>0</v>
      </c>
      <c r="G34" s="124">
        <f t="shared" si="9"/>
        <v>0</v>
      </c>
      <c r="H34" s="124">
        <f t="shared" si="9"/>
        <v>0</v>
      </c>
      <c r="I34" s="125">
        <f t="shared" si="9"/>
        <v>0</v>
      </c>
      <c r="J34" s="126">
        <f t="shared" si="9"/>
        <v>0</v>
      </c>
      <c r="K34" s="125">
        <f t="shared" si="9"/>
        <v>0</v>
      </c>
      <c r="L34" s="124">
        <f t="shared" si="9"/>
        <v>0</v>
      </c>
      <c r="M34" s="124">
        <f t="shared" si="9"/>
        <v>0</v>
      </c>
      <c r="N34" s="56">
        <f t="shared" si="9"/>
        <v>0</v>
      </c>
      <c r="O34" s="56">
        <f t="shared" si="9"/>
        <v>0</v>
      </c>
      <c r="P34" s="57">
        <f t="shared" si="9"/>
        <v>0</v>
      </c>
      <c r="Q34" s="58">
        <f t="shared" si="9"/>
        <v>0</v>
      </c>
      <c r="R34" s="59">
        <f>IF(R32=0,,(R33/R32)*1000)</f>
        <v>0</v>
      </c>
      <c r="S34" s="60"/>
    </row>
    <row r="35" spans="1:19" s="46" customFormat="1" ht="13.5" customHeight="1">
      <c r="A35" s="142" t="s">
        <v>50</v>
      </c>
      <c r="B35" s="47" t="s">
        <v>26</v>
      </c>
      <c r="C35" s="48" t="s">
        <v>4</v>
      </c>
      <c r="D35" s="118"/>
      <c r="E35" s="119"/>
      <c r="F35" s="119"/>
      <c r="G35" s="119"/>
      <c r="H35" s="119"/>
      <c r="I35" s="120"/>
      <c r="J35" s="121"/>
      <c r="K35" s="120"/>
      <c r="L35" s="119"/>
      <c r="M35" s="119"/>
      <c r="N35" s="67"/>
      <c r="O35" s="67"/>
      <c r="P35" s="68"/>
      <c r="Q35" s="108">
        <f>SUM(N35:P35)</f>
        <v>0</v>
      </c>
      <c r="R35" s="109">
        <f>Q35</f>
        <v>0</v>
      </c>
      <c r="S35" s="45"/>
    </row>
    <row r="36" spans="1:19" s="46" customFormat="1" ht="13.5" customHeight="1">
      <c r="A36" s="143"/>
      <c r="B36" s="47" t="s">
        <v>28</v>
      </c>
      <c r="C36" s="48" t="s">
        <v>5</v>
      </c>
      <c r="D36" s="118"/>
      <c r="E36" s="119"/>
      <c r="F36" s="116"/>
      <c r="G36" s="119"/>
      <c r="H36" s="116"/>
      <c r="I36" s="120"/>
      <c r="J36" s="121"/>
      <c r="K36" s="117"/>
      <c r="L36" s="116"/>
      <c r="M36" s="116"/>
      <c r="N36" s="106"/>
      <c r="O36" s="106"/>
      <c r="P36" s="107"/>
      <c r="Q36" s="108">
        <f>SUM(N36:P36)</f>
        <v>0</v>
      </c>
      <c r="R36" s="109">
        <f>Q36</f>
        <v>0</v>
      </c>
      <c r="S36" s="45"/>
    </row>
    <row r="37" spans="1:19" s="46" customFormat="1" ht="13.5" customHeight="1" thickBot="1">
      <c r="A37" s="144"/>
      <c r="B37" s="20" t="s">
        <v>30</v>
      </c>
      <c r="C37" s="55" t="s">
        <v>6</v>
      </c>
      <c r="D37" s="123">
        <f aca="true" t="shared" si="10" ref="D37:Q37">IF(D35=0,,D36/D35*1000)</f>
        <v>0</v>
      </c>
      <c r="E37" s="124">
        <f t="shared" si="10"/>
        <v>0</v>
      </c>
      <c r="F37" s="124">
        <f t="shared" si="10"/>
        <v>0</v>
      </c>
      <c r="G37" s="124">
        <f t="shared" si="10"/>
        <v>0</v>
      </c>
      <c r="H37" s="124">
        <f t="shared" si="10"/>
        <v>0</v>
      </c>
      <c r="I37" s="125">
        <f t="shared" si="10"/>
        <v>0</v>
      </c>
      <c r="J37" s="126">
        <f t="shared" si="10"/>
        <v>0</v>
      </c>
      <c r="K37" s="125">
        <f t="shared" si="10"/>
        <v>0</v>
      </c>
      <c r="L37" s="124">
        <f t="shared" si="10"/>
        <v>0</v>
      </c>
      <c r="M37" s="124">
        <f t="shared" si="10"/>
        <v>0</v>
      </c>
      <c r="N37" s="56">
        <f t="shared" si="10"/>
        <v>0</v>
      </c>
      <c r="O37" s="56">
        <f t="shared" si="10"/>
        <v>0</v>
      </c>
      <c r="P37" s="57">
        <f t="shared" si="10"/>
        <v>0</v>
      </c>
      <c r="Q37" s="58">
        <f t="shared" si="10"/>
        <v>0</v>
      </c>
      <c r="R37" s="59">
        <f>IF(R35=0,,(R36/R35)*1000)</f>
        <v>0</v>
      </c>
      <c r="S37" s="60"/>
    </row>
    <row r="38" spans="1:19" s="46" customFormat="1" ht="13.5" customHeight="1">
      <c r="A38" s="142" t="s">
        <v>52</v>
      </c>
      <c r="B38" s="47" t="s">
        <v>26</v>
      </c>
      <c r="C38" s="48" t="s">
        <v>4</v>
      </c>
      <c r="D38" s="118"/>
      <c r="E38" s="119"/>
      <c r="F38" s="119"/>
      <c r="G38" s="119"/>
      <c r="H38" s="119"/>
      <c r="I38" s="120"/>
      <c r="J38" s="121"/>
      <c r="K38" s="120"/>
      <c r="L38" s="119"/>
      <c r="M38" s="119"/>
      <c r="N38" s="67"/>
      <c r="O38" s="67"/>
      <c r="P38" s="68"/>
      <c r="Q38" s="108">
        <f>SUM(N38:P38)</f>
        <v>0</v>
      </c>
      <c r="R38" s="109">
        <f>Q38</f>
        <v>0</v>
      </c>
      <c r="S38" s="45"/>
    </row>
    <row r="39" spans="1:19" s="46" customFormat="1" ht="13.5" customHeight="1">
      <c r="A39" s="143"/>
      <c r="B39" s="47" t="s">
        <v>28</v>
      </c>
      <c r="C39" s="48" t="s">
        <v>5</v>
      </c>
      <c r="D39" s="118"/>
      <c r="E39" s="116"/>
      <c r="F39" s="116"/>
      <c r="G39" s="116"/>
      <c r="H39" s="116"/>
      <c r="I39" s="117"/>
      <c r="J39" s="121"/>
      <c r="K39" s="117"/>
      <c r="L39" s="116"/>
      <c r="M39" s="116"/>
      <c r="N39" s="106"/>
      <c r="O39" s="106"/>
      <c r="P39" s="107"/>
      <c r="Q39" s="108">
        <f>SUM(N39:P39)</f>
        <v>0</v>
      </c>
      <c r="R39" s="109">
        <f>Q39</f>
        <v>0</v>
      </c>
      <c r="S39" s="45"/>
    </row>
    <row r="40" spans="1:19" s="46" customFormat="1" ht="13.5" customHeight="1" thickBot="1">
      <c r="A40" s="144"/>
      <c r="B40" s="20" t="s">
        <v>30</v>
      </c>
      <c r="C40" s="55" t="s">
        <v>6</v>
      </c>
      <c r="D40" s="123">
        <f aca="true" t="shared" si="11" ref="D40:Q40">IF(D38=0,,D39/D38*1000)</f>
        <v>0</v>
      </c>
      <c r="E40" s="124">
        <f t="shared" si="11"/>
        <v>0</v>
      </c>
      <c r="F40" s="124">
        <f t="shared" si="11"/>
        <v>0</v>
      </c>
      <c r="G40" s="124">
        <f t="shared" si="11"/>
        <v>0</v>
      </c>
      <c r="H40" s="124">
        <f t="shared" si="11"/>
        <v>0</v>
      </c>
      <c r="I40" s="125">
        <f t="shared" si="11"/>
        <v>0</v>
      </c>
      <c r="J40" s="126">
        <f t="shared" si="11"/>
        <v>0</v>
      </c>
      <c r="K40" s="125">
        <f t="shared" si="11"/>
        <v>0</v>
      </c>
      <c r="L40" s="124">
        <f t="shared" si="11"/>
        <v>0</v>
      </c>
      <c r="M40" s="124">
        <f t="shared" si="11"/>
        <v>0</v>
      </c>
      <c r="N40" s="56">
        <f t="shared" si="11"/>
        <v>0</v>
      </c>
      <c r="O40" s="56">
        <f t="shared" si="11"/>
        <v>0</v>
      </c>
      <c r="P40" s="57">
        <f t="shared" si="11"/>
        <v>0</v>
      </c>
      <c r="Q40" s="58">
        <f t="shared" si="11"/>
        <v>0</v>
      </c>
      <c r="R40" s="59">
        <f>IF(R38=0,,(R39/R38)*1000)</f>
        <v>0</v>
      </c>
      <c r="S40" s="60"/>
    </row>
    <row r="41" spans="1:19" s="46" customFormat="1" ht="18" customHeight="1">
      <c r="A41" s="142" t="s">
        <v>7</v>
      </c>
      <c r="B41" s="47" t="s">
        <v>26</v>
      </c>
      <c r="C41" s="48" t="s">
        <v>4</v>
      </c>
      <c r="D41" s="49"/>
      <c r="E41" s="50"/>
      <c r="F41" s="50"/>
      <c r="G41" s="50"/>
      <c r="H41" s="50"/>
      <c r="I41" s="51"/>
      <c r="J41" s="52"/>
      <c r="K41" s="51"/>
      <c r="L41" s="50"/>
      <c r="M41" s="50"/>
      <c r="N41" s="106">
        <f aca="true" t="shared" si="12" ref="N41:P42">N5+N8+N11+N14+N17+N20+N23+N26+N29+N32+N35+N38</f>
        <v>0</v>
      </c>
      <c r="O41" s="106">
        <f t="shared" si="12"/>
        <v>0</v>
      </c>
      <c r="P41" s="107">
        <f t="shared" si="12"/>
        <v>0</v>
      </c>
      <c r="Q41" s="108">
        <f>SUM(N41:P41)</f>
        <v>0</v>
      </c>
      <c r="R41" s="109">
        <f>Q41</f>
        <v>0</v>
      </c>
      <c r="S41" s="54"/>
    </row>
    <row r="42" spans="1:19" s="46" customFormat="1" ht="18" customHeight="1">
      <c r="A42" s="143"/>
      <c r="B42" s="47" t="s">
        <v>28</v>
      </c>
      <c r="C42" s="48" t="s">
        <v>5</v>
      </c>
      <c r="D42" s="49"/>
      <c r="E42" s="50"/>
      <c r="F42" s="50"/>
      <c r="G42" s="50"/>
      <c r="H42" s="50"/>
      <c r="I42" s="51"/>
      <c r="J42" s="52"/>
      <c r="K42" s="51"/>
      <c r="L42" s="50"/>
      <c r="M42" s="50"/>
      <c r="N42" s="106">
        <f t="shared" si="12"/>
        <v>0</v>
      </c>
      <c r="O42" s="106">
        <f t="shared" si="12"/>
        <v>0</v>
      </c>
      <c r="P42" s="107">
        <f t="shared" si="12"/>
        <v>0</v>
      </c>
      <c r="Q42" s="108">
        <f>SUM(N42:P42)</f>
        <v>0</v>
      </c>
      <c r="R42" s="109">
        <f>Q42</f>
        <v>0</v>
      </c>
      <c r="S42" s="45"/>
    </row>
    <row r="43" spans="1:19" s="46" customFormat="1" ht="18" customHeight="1" thickBot="1">
      <c r="A43" s="145"/>
      <c r="B43" s="20" t="s">
        <v>30</v>
      </c>
      <c r="C43" s="55" t="s">
        <v>6</v>
      </c>
      <c r="D43" s="123">
        <f aca="true" t="shared" si="13" ref="D43:Q43">IF(D41=0,,D42/D41*1000)</f>
        <v>0</v>
      </c>
      <c r="E43" s="124">
        <f t="shared" si="13"/>
        <v>0</v>
      </c>
      <c r="F43" s="124">
        <f t="shared" si="13"/>
        <v>0</v>
      </c>
      <c r="G43" s="124">
        <f t="shared" si="13"/>
        <v>0</v>
      </c>
      <c r="H43" s="124">
        <f t="shared" si="13"/>
        <v>0</v>
      </c>
      <c r="I43" s="125">
        <f t="shared" si="13"/>
        <v>0</v>
      </c>
      <c r="J43" s="126">
        <f t="shared" si="13"/>
        <v>0</v>
      </c>
      <c r="K43" s="125">
        <f t="shared" si="13"/>
        <v>0</v>
      </c>
      <c r="L43" s="124">
        <f t="shared" si="13"/>
        <v>0</v>
      </c>
      <c r="M43" s="124">
        <f t="shared" si="13"/>
        <v>0</v>
      </c>
      <c r="N43" s="56">
        <f t="shared" si="13"/>
        <v>0</v>
      </c>
      <c r="O43" s="56">
        <f t="shared" si="13"/>
        <v>0</v>
      </c>
      <c r="P43" s="57">
        <f t="shared" si="13"/>
        <v>0</v>
      </c>
      <c r="Q43" s="58">
        <f t="shared" si="13"/>
        <v>0</v>
      </c>
      <c r="R43" s="59">
        <f>IF(R41=0,,(R42/R41)*1000)</f>
        <v>0</v>
      </c>
      <c r="S43" s="60"/>
    </row>
    <row r="44" spans="1:19" s="46" customFormat="1" ht="24" customHeight="1" thickBot="1">
      <c r="A44" s="146" t="s">
        <v>23</v>
      </c>
      <c r="B44" s="147"/>
      <c r="C44" s="148"/>
      <c r="D44" s="85">
        <v>106.25</v>
      </c>
      <c r="E44" s="86">
        <v>110.39</v>
      </c>
      <c r="F44" s="127">
        <v>111.1</v>
      </c>
      <c r="G44" s="87">
        <v>108.75</v>
      </c>
      <c r="H44" s="90">
        <v>110.45</v>
      </c>
      <c r="I44" s="61">
        <v>109.73</v>
      </c>
      <c r="J44" s="62">
        <v>109.55</v>
      </c>
      <c r="K44" s="63">
        <v>110.29</v>
      </c>
      <c r="L44" s="112">
        <v>106.67</v>
      </c>
      <c r="M44" s="64">
        <v>103.64</v>
      </c>
      <c r="N44" s="64">
        <v>103.66</v>
      </c>
      <c r="O44" s="87">
        <v>103.83</v>
      </c>
      <c r="P44" s="88">
        <v>104.83</v>
      </c>
      <c r="Q44" s="89">
        <v>105.35</v>
      </c>
      <c r="R44" s="84">
        <v>107.34</v>
      </c>
      <c r="S44" s="45"/>
    </row>
    <row r="45" ht="15.75" customHeight="1">
      <c r="A45" s="113"/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76" r:id="rId1"/>
  <headerFooter alignWithMargins="0">
    <oddFooter>&amp;C&amp;"ＭＳ ゴシック,標準"&amp;20-2-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11.7109375" style="0" customWidth="1"/>
  </cols>
  <sheetData>
    <row r="2" spans="1:16" ht="27" customHeight="1">
      <c r="A2" s="17" t="s">
        <v>72</v>
      </c>
      <c r="B2" s="34" t="s">
        <v>75</v>
      </c>
      <c r="C2" s="1"/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6" t="s">
        <v>32</v>
      </c>
      <c r="B5" s="47" t="s">
        <v>26</v>
      </c>
      <c r="C5" s="48" t="s">
        <v>4</v>
      </c>
      <c r="D5" s="105">
        <f>'P一般'!D5+'P原料'!D5</f>
        <v>340412</v>
      </c>
      <c r="E5" s="106">
        <f>'P一般'!E5+'P原料'!E5</f>
        <v>464108</v>
      </c>
      <c r="F5" s="106">
        <f>'P一般'!F5+'P原料'!F5</f>
        <v>361596</v>
      </c>
      <c r="G5" s="106">
        <f>'P一般'!G5+'P原料'!G5</f>
        <v>195018</v>
      </c>
      <c r="H5" s="106">
        <f>'P一般'!H5+'P原料'!H5</f>
        <v>338684</v>
      </c>
      <c r="I5" s="106">
        <f>'P一般'!I5+'P原料'!I5</f>
        <v>256256</v>
      </c>
      <c r="J5" s="108">
        <f>SUM(D5:I5)</f>
        <v>1956074</v>
      </c>
      <c r="K5" s="105">
        <f>'P一般'!K5+'P原料'!K5</f>
        <v>420021</v>
      </c>
      <c r="L5" s="106">
        <f>'P一般'!L5+'P原料'!L5</f>
        <v>289533</v>
      </c>
      <c r="M5" s="106">
        <f>'P一般'!M5+'P原料'!M5</f>
        <v>357495</v>
      </c>
      <c r="N5" s="106">
        <f>'P一般'!N5+'P原料'!N5</f>
        <v>406722</v>
      </c>
      <c r="O5" s="106">
        <f>'P一般'!O5+'P原料'!O5</f>
        <v>411335</v>
      </c>
      <c r="P5" s="106">
        <f>'P一般'!P5+'P原料'!P5</f>
        <v>452150</v>
      </c>
      <c r="Q5" s="108">
        <f>'P一般'!Q5+'P原料'!Q5</f>
        <v>2337256</v>
      </c>
      <c r="R5" s="109">
        <f>'P一般'!R5+'P原料'!R5</f>
        <v>4293330</v>
      </c>
      <c r="S5" s="45"/>
    </row>
    <row r="6" spans="1:19" s="46" customFormat="1" ht="13.5" customHeight="1">
      <c r="A6" s="143"/>
      <c r="B6" s="47" t="s">
        <v>28</v>
      </c>
      <c r="C6" s="48" t="s">
        <v>5</v>
      </c>
      <c r="D6" s="105">
        <f>'P一般'!D6+'P原料'!D6</f>
        <v>11324510</v>
      </c>
      <c r="E6" s="106">
        <f>'P一般'!E6+'P原料'!E6</f>
        <v>17337192</v>
      </c>
      <c r="F6" s="106">
        <f>'P一般'!F6+'P原料'!F6</f>
        <v>14379678</v>
      </c>
      <c r="G6" s="106">
        <f>'P一般'!G6+'P原料'!G6</f>
        <v>7564669</v>
      </c>
      <c r="H6" s="106">
        <f>'P一般'!H6+'P原料'!H6</f>
        <v>13150352</v>
      </c>
      <c r="I6" s="106">
        <f>'P一般'!I6+'P原料'!I6</f>
        <v>10792410</v>
      </c>
      <c r="J6" s="108">
        <f>SUM(D6:I6)</f>
        <v>74548811</v>
      </c>
      <c r="K6" s="105">
        <f>'P一般'!K6+'P原料'!K6</f>
        <v>19346792</v>
      </c>
      <c r="L6" s="106">
        <f>'P一般'!L6+'P原料'!L6</f>
        <v>14529923</v>
      </c>
      <c r="M6" s="106">
        <f>'P一般'!M6+'P原料'!M6</f>
        <v>17123865</v>
      </c>
      <c r="N6" s="106">
        <f>'P一般'!N6+'P原料'!N6</f>
        <v>18742451</v>
      </c>
      <c r="O6" s="106">
        <f>'P一般'!O6+'P原料'!O6</f>
        <v>17061739</v>
      </c>
      <c r="P6" s="106">
        <f>'P一般'!P6+'P原料'!P6</f>
        <v>19609449</v>
      </c>
      <c r="Q6" s="108">
        <f>'P一般'!Q6+'P原料'!Q6</f>
        <v>106414219</v>
      </c>
      <c r="R6" s="109">
        <f>'P一般'!R6+'P原料'!R6</f>
        <v>180963030</v>
      </c>
      <c r="S6" s="45"/>
    </row>
    <row r="7" spans="1:19" s="46" customFormat="1" ht="13.5" customHeight="1" thickBot="1">
      <c r="A7" s="144"/>
      <c r="B7" s="20" t="s">
        <v>30</v>
      </c>
      <c r="C7" s="55" t="s">
        <v>6</v>
      </c>
      <c r="D7" s="75">
        <f aca="true" t="shared" si="0" ref="D7:I7">IF(D5=0,,D6/D5*1000)</f>
        <v>33267.070491052014</v>
      </c>
      <c r="E7" s="56">
        <f t="shared" si="0"/>
        <v>37355.94301326415</v>
      </c>
      <c r="F7" s="56">
        <f t="shared" si="0"/>
        <v>39767.248531510304</v>
      </c>
      <c r="G7" s="56">
        <f t="shared" si="0"/>
        <v>38789.59378108687</v>
      </c>
      <c r="H7" s="56">
        <f t="shared" si="0"/>
        <v>38827.79227834796</v>
      </c>
      <c r="I7" s="56">
        <f t="shared" si="0"/>
        <v>42115.73582667333</v>
      </c>
      <c r="J7" s="58">
        <f>IF(J5=0,,(J6/J5)*1000)</f>
        <v>38111.44721518715</v>
      </c>
      <c r="K7" s="57">
        <f aca="true" t="shared" si="1" ref="K7:P7">IF(K5=0,,K6/K5*1000)</f>
        <v>46061.487401820385</v>
      </c>
      <c r="L7" s="56">
        <f t="shared" si="1"/>
        <v>50183.99629748595</v>
      </c>
      <c r="M7" s="56">
        <f t="shared" si="1"/>
        <v>47899.59300130072</v>
      </c>
      <c r="N7" s="56">
        <f t="shared" si="1"/>
        <v>46081.72412606154</v>
      </c>
      <c r="O7" s="56">
        <f t="shared" si="1"/>
        <v>41478.938091822965</v>
      </c>
      <c r="P7" s="57">
        <f t="shared" si="1"/>
        <v>43369.344244166765</v>
      </c>
      <c r="Q7" s="58">
        <f>IF(Q5=0,,Q6/Q5*1000)</f>
        <v>45529.55217571375</v>
      </c>
      <c r="R7" s="59">
        <f>IF(R5=0,,R6/R5*1000)</f>
        <v>42149.80679332825</v>
      </c>
      <c r="S7" s="76">
        <f>IF(S5=0,"",(S6/S5)*1000)</f>
      </c>
    </row>
    <row r="8" spans="1:19" s="46" customFormat="1" ht="13.5" customHeight="1">
      <c r="A8" s="142" t="s">
        <v>33</v>
      </c>
      <c r="B8" s="47" t="s">
        <v>26</v>
      </c>
      <c r="C8" s="48" t="s">
        <v>4</v>
      </c>
      <c r="D8" s="105">
        <f>'P一般'!D8+'P原料'!D8</f>
        <v>153289</v>
      </c>
      <c r="E8" s="106">
        <f>'P一般'!E8+'P原料'!E8</f>
        <v>87112</v>
      </c>
      <c r="F8" s="106">
        <f>'P一般'!F8+'P原料'!F8</f>
        <v>124846</v>
      </c>
      <c r="G8" s="106">
        <f>'P一般'!G8+'P原料'!G8</f>
        <v>63517</v>
      </c>
      <c r="H8" s="106">
        <f>'P一般'!H8+'P原料'!H8</f>
        <v>101844</v>
      </c>
      <c r="I8" s="106">
        <f>'P一般'!I8+'P原料'!I8</f>
        <v>112922</v>
      </c>
      <c r="J8" s="108">
        <f>SUM(D8:I8)</f>
        <v>643530</v>
      </c>
      <c r="K8" s="105">
        <f>'P一般'!K8+'P原料'!K8</f>
        <v>64208</v>
      </c>
      <c r="L8" s="106">
        <f>'P一般'!L8+'P原料'!L8</f>
        <v>93704</v>
      </c>
      <c r="M8" s="106">
        <f>'P一般'!M8+'P原料'!M8</f>
        <v>79870</v>
      </c>
      <c r="N8" s="106">
        <f>'P一般'!N8+'P原料'!N8</f>
        <v>105212</v>
      </c>
      <c r="O8" s="106">
        <f>'P一般'!O8+'P原料'!O8</f>
        <v>122436</v>
      </c>
      <c r="P8" s="106">
        <f>'P一般'!P8+'P原料'!P8</f>
        <v>56156</v>
      </c>
      <c r="Q8" s="108">
        <f>'P一般'!Q8+'P原料'!Q8</f>
        <v>521586</v>
      </c>
      <c r="R8" s="109">
        <f>'P一般'!R8+'P原料'!R8</f>
        <v>1165116</v>
      </c>
      <c r="S8" s="45"/>
    </row>
    <row r="9" spans="1:19" s="46" customFormat="1" ht="13.5" customHeight="1">
      <c r="A9" s="143"/>
      <c r="B9" s="47" t="s">
        <v>28</v>
      </c>
      <c r="C9" s="48" t="s">
        <v>5</v>
      </c>
      <c r="D9" s="105">
        <f>'P一般'!D9+'P原料'!D9</f>
        <v>4932636</v>
      </c>
      <c r="E9" s="106">
        <f>'P一般'!E9+'P原料'!E9</f>
        <v>3105996</v>
      </c>
      <c r="F9" s="133">
        <f>'P一般'!F9+'P原料'!F9</f>
        <v>4892281</v>
      </c>
      <c r="G9" s="106">
        <f>'P一般'!G9+'P原料'!G9</f>
        <v>2471139</v>
      </c>
      <c r="H9" s="106">
        <f>'P一般'!H9+'P原料'!H9</f>
        <v>3952506</v>
      </c>
      <c r="I9" s="106">
        <f>'P一般'!I9+'P原料'!I9</f>
        <v>4650180</v>
      </c>
      <c r="J9" s="131">
        <f>SUM(D9:I9)</f>
        <v>24004738</v>
      </c>
      <c r="K9" s="105">
        <f>'P一般'!K9+'P原料'!K9</f>
        <v>2952806</v>
      </c>
      <c r="L9" s="106">
        <f>'P一般'!L9+'P原料'!L9</f>
        <v>4390282</v>
      </c>
      <c r="M9" s="106">
        <f>'P一般'!M9+'P原料'!M9</f>
        <v>4043347</v>
      </c>
      <c r="N9" s="106">
        <f>'P一般'!N9+'P原料'!N9</f>
        <v>4811207</v>
      </c>
      <c r="O9" s="106">
        <f>'P一般'!O9+'P原料'!O9</f>
        <v>5157053</v>
      </c>
      <c r="P9" s="106">
        <f>'P一般'!P9+'P原料'!P9</f>
        <v>2309152</v>
      </c>
      <c r="Q9" s="108">
        <f>'P一般'!Q9+'P原料'!Q9</f>
        <v>23663847</v>
      </c>
      <c r="R9" s="134">
        <f>'P一般'!R9+'P原料'!R9</f>
        <v>47668585</v>
      </c>
      <c r="S9" s="45"/>
    </row>
    <row r="10" spans="1:19" s="46" customFormat="1" ht="13.5" customHeight="1" thickBot="1">
      <c r="A10" s="144"/>
      <c r="B10" s="20" t="s">
        <v>30</v>
      </c>
      <c r="C10" s="55" t="s">
        <v>6</v>
      </c>
      <c r="D10" s="75">
        <f aca="true" t="shared" si="2" ref="D10:I10">IF(D8=0,,D9/D8*1000)</f>
        <v>32178.669049964446</v>
      </c>
      <c r="E10" s="56">
        <f t="shared" si="2"/>
        <v>35655.20249793369</v>
      </c>
      <c r="F10" s="130">
        <f t="shared" si="2"/>
        <v>39186.52579978533</v>
      </c>
      <c r="G10" s="56">
        <f t="shared" si="2"/>
        <v>38905.159248705066</v>
      </c>
      <c r="H10" s="56">
        <f t="shared" si="2"/>
        <v>38809.41439849181</v>
      </c>
      <c r="I10" s="56">
        <f t="shared" si="2"/>
        <v>41180.46084908167</v>
      </c>
      <c r="J10" s="132">
        <f>IF(J8=0,,(J9/J8)*1000)</f>
        <v>37301.66115021833</v>
      </c>
      <c r="K10" s="57">
        <f aca="true" t="shared" si="3" ref="K10:R10">IF(K8=0,,K9/K8*1000)</f>
        <v>45988.13231996013</v>
      </c>
      <c r="L10" s="56">
        <f t="shared" si="3"/>
        <v>46852.66370699223</v>
      </c>
      <c r="M10" s="56">
        <f t="shared" si="3"/>
        <v>50624.10166520596</v>
      </c>
      <c r="N10" s="56">
        <f t="shared" si="3"/>
        <v>45728.690643652815</v>
      </c>
      <c r="O10" s="56">
        <f t="shared" si="3"/>
        <v>42120.397595478455</v>
      </c>
      <c r="P10" s="57">
        <f t="shared" si="3"/>
        <v>41120.30771422466</v>
      </c>
      <c r="Q10" s="58">
        <f t="shared" si="3"/>
        <v>45369.022558120814</v>
      </c>
      <c r="R10" s="135">
        <f t="shared" si="3"/>
        <v>40913.166585988</v>
      </c>
      <c r="S10" s="45"/>
    </row>
    <row r="11" spans="1:19" s="46" customFormat="1" ht="13.5" customHeight="1">
      <c r="A11" s="142" t="s">
        <v>35</v>
      </c>
      <c r="B11" s="47" t="s">
        <v>26</v>
      </c>
      <c r="C11" s="48" t="s">
        <v>4</v>
      </c>
      <c r="D11" s="105">
        <f>'P一般'!D11+'P原料'!D11</f>
        <v>0</v>
      </c>
      <c r="E11" s="106">
        <f>'P一般'!E11+'P原料'!E11</f>
        <v>18179</v>
      </c>
      <c r="F11" s="106">
        <f>'P一般'!F11+'P原料'!F11</f>
        <v>48138</v>
      </c>
      <c r="G11" s="106">
        <f>'P一般'!G11+'P原料'!G11</f>
        <v>23029</v>
      </c>
      <c r="H11" s="106">
        <f>'P一般'!H11+'P原料'!H11</f>
        <v>33406</v>
      </c>
      <c r="I11" s="106">
        <f>'P一般'!I11+'P原料'!I11</f>
        <v>33274</v>
      </c>
      <c r="J11" s="108">
        <f>SUM(D11:I11)</f>
        <v>156026</v>
      </c>
      <c r="K11" s="105">
        <f>'P一般'!K11+'P原料'!K11</f>
        <v>10003</v>
      </c>
      <c r="L11" s="106">
        <f>'P一般'!L11+'P原料'!L11</f>
        <v>27497</v>
      </c>
      <c r="M11" s="106">
        <f>'P一般'!M11+'P原料'!M11</f>
        <v>32514</v>
      </c>
      <c r="N11" s="106">
        <f>'P一般'!N11+'P原料'!N11</f>
        <v>22463</v>
      </c>
      <c r="O11" s="106">
        <f>'P一般'!O11+'P原料'!O11</f>
        <v>62744</v>
      </c>
      <c r="P11" s="106">
        <f>'P一般'!P11+'P原料'!P11</f>
        <v>40577</v>
      </c>
      <c r="Q11" s="108">
        <f>'P一般'!Q11+'P原料'!Q11</f>
        <v>195798</v>
      </c>
      <c r="R11" s="109">
        <f>'P一般'!R11+'P原料'!R11</f>
        <v>351824</v>
      </c>
      <c r="S11" s="45"/>
    </row>
    <row r="12" spans="1:19" s="46" customFormat="1" ht="13.5" customHeight="1">
      <c r="A12" s="143"/>
      <c r="B12" s="47" t="s">
        <v>28</v>
      </c>
      <c r="C12" s="48" t="s">
        <v>5</v>
      </c>
      <c r="D12" s="105">
        <f>'P一般'!D12+'P原料'!D12</f>
        <v>0</v>
      </c>
      <c r="E12" s="106">
        <f>'P一般'!E12+'P原料'!E12</f>
        <v>644465</v>
      </c>
      <c r="F12" s="106">
        <f>'P一般'!F12+'P原料'!F12</f>
        <v>1858354</v>
      </c>
      <c r="G12" s="106">
        <f>'P一般'!G12+'P原料'!G12</f>
        <v>875284</v>
      </c>
      <c r="H12" s="106">
        <f>'P一般'!H12+'P原料'!H12</f>
        <v>1261678</v>
      </c>
      <c r="I12" s="106">
        <f>'P一般'!I12+'P原料'!I12</f>
        <v>1467332</v>
      </c>
      <c r="J12" s="108">
        <f>SUM(D12:I12)</f>
        <v>6107113</v>
      </c>
      <c r="K12" s="105">
        <f>'P一般'!K12+'P原料'!K12</f>
        <v>454796</v>
      </c>
      <c r="L12" s="106">
        <f>'P一般'!L12+'P原料'!L12</f>
        <v>1378425</v>
      </c>
      <c r="M12" s="106">
        <f>'P一般'!M12+'P原料'!M12</f>
        <v>1685944</v>
      </c>
      <c r="N12" s="106">
        <f>'P一般'!N12+'P原料'!N12</f>
        <v>1062378</v>
      </c>
      <c r="O12" s="106">
        <f>'P一般'!O12+'P原料'!O12</f>
        <v>2588096</v>
      </c>
      <c r="P12" s="106">
        <f>'P一般'!P12+'P原料'!P12</f>
        <v>1735537</v>
      </c>
      <c r="Q12" s="108">
        <f>'P一般'!Q12+'P原料'!Q12</f>
        <v>8905176</v>
      </c>
      <c r="R12" s="109">
        <f>'P一般'!R12+'P原料'!R12</f>
        <v>15012289</v>
      </c>
      <c r="S12" s="45"/>
    </row>
    <row r="13" spans="1:19" s="46" customFormat="1" ht="13.5" customHeight="1" thickBot="1">
      <c r="A13" s="144"/>
      <c r="B13" s="20" t="s">
        <v>30</v>
      </c>
      <c r="C13" s="55" t="s">
        <v>6</v>
      </c>
      <c r="D13" s="75">
        <f aca="true" t="shared" si="4" ref="D13:I13">IF(D11=0,,D12/D11*1000)</f>
        <v>0</v>
      </c>
      <c r="E13" s="56">
        <f t="shared" si="4"/>
        <v>35451.06991583695</v>
      </c>
      <c r="F13" s="56">
        <f t="shared" si="4"/>
        <v>38604.719764011796</v>
      </c>
      <c r="G13" s="56">
        <f t="shared" si="4"/>
        <v>38007.90307872682</v>
      </c>
      <c r="H13" s="56">
        <f t="shared" si="4"/>
        <v>37768.00574747051</v>
      </c>
      <c r="I13" s="56">
        <f t="shared" si="4"/>
        <v>44098.455250345614</v>
      </c>
      <c r="J13" s="58">
        <f>IF(J11=0,,(J12/J11)*1000)</f>
        <v>39141.63665030187</v>
      </c>
      <c r="K13" s="57">
        <f aca="true" t="shared" si="5" ref="K13:P13">IF(K11=0,,K12/K11*1000)</f>
        <v>45465.96021193642</v>
      </c>
      <c r="L13" s="56">
        <f t="shared" si="5"/>
        <v>50130.01418336546</v>
      </c>
      <c r="M13" s="56">
        <f t="shared" si="5"/>
        <v>51852.86338192778</v>
      </c>
      <c r="N13" s="56">
        <f t="shared" si="5"/>
        <v>47294.57329831278</v>
      </c>
      <c r="O13" s="56">
        <f t="shared" si="5"/>
        <v>41248.501848782355</v>
      </c>
      <c r="P13" s="57">
        <f t="shared" si="5"/>
        <v>42771.446878773684</v>
      </c>
      <c r="Q13" s="58">
        <f>IF(Q11=0,,Q12/Q11*1000)</f>
        <v>45481.44516287194</v>
      </c>
      <c r="R13" s="59">
        <f>IF(R11=0,,R12/R11*1000)</f>
        <v>42669.88323707308</v>
      </c>
      <c r="S13" s="76">
        <f>IF(S11=0,"",(S12/S11)*1000)</f>
      </c>
    </row>
    <row r="14" spans="1:19" s="46" customFormat="1" ht="13.5" customHeight="1">
      <c r="A14" s="142" t="s">
        <v>37</v>
      </c>
      <c r="B14" s="47" t="s">
        <v>26</v>
      </c>
      <c r="C14" s="48" t="s">
        <v>4</v>
      </c>
      <c r="D14" s="105">
        <f>'P一般'!D14+'P原料'!D14</f>
        <v>0</v>
      </c>
      <c r="E14" s="106">
        <f>'P一般'!E14+'P原料'!E14</f>
        <v>0</v>
      </c>
      <c r="F14" s="106">
        <f>'P一般'!F14+'P原料'!F14</f>
        <v>0</v>
      </c>
      <c r="G14" s="106">
        <f>'P一般'!G14+'P原料'!G14</f>
        <v>0</v>
      </c>
      <c r="H14" s="106">
        <f>'P一般'!H14+'P原料'!H14</f>
        <v>0</v>
      </c>
      <c r="I14" s="106">
        <f>'P一般'!I14+'P原料'!I14</f>
        <v>0</v>
      </c>
      <c r="J14" s="108">
        <f>SUM(D14:I14)</f>
        <v>0</v>
      </c>
      <c r="K14" s="105">
        <f>'P一般'!K14+'P原料'!K14</f>
        <v>0</v>
      </c>
      <c r="L14" s="106">
        <f>'P一般'!L14+'P原料'!L14</f>
        <v>0</v>
      </c>
      <c r="M14" s="106">
        <f>'P一般'!M14+'P原料'!M14</f>
        <v>0</v>
      </c>
      <c r="N14" s="106">
        <f>'P一般'!N14+'P原料'!N14</f>
        <v>0</v>
      </c>
      <c r="O14" s="106">
        <f>'P一般'!O14+'P原料'!O14</f>
        <v>0</v>
      </c>
      <c r="P14" s="106">
        <f>'P一般'!P14+'P原料'!P14</f>
        <v>0</v>
      </c>
      <c r="Q14" s="108">
        <f>'P一般'!Q14+'P原料'!Q14</f>
        <v>0</v>
      </c>
      <c r="R14" s="109">
        <f>'P一般'!R14+'P原料'!R14</f>
        <v>0</v>
      </c>
      <c r="S14" s="45"/>
    </row>
    <row r="15" spans="1:19" s="46" customFormat="1" ht="13.5" customHeight="1">
      <c r="A15" s="143"/>
      <c r="B15" s="47" t="s">
        <v>28</v>
      </c>
      <c r="C15" s="48" t="s">
        <v>5</v>
      </c>
      <c r="D15" s="105">
        <f>'P一般'!D15+'P原料'!D15</f>
        <v>0</v>
      </c>
      <c r="E15" s="106">
        <f>'P一般'!E15+'P原料'!E15</f>
        <v>0</v>
      </c>
      <c r="F15" s="106">
        <f>'P一般'!F15+'P原料'!F15</f>
        <v>0</v>
      </c>
      <c r="G15" s="106">
        <f>'P一般'!G15+'P原料'!G15</f>
        <v>0</v>
      </c>
      <c r="H15" s="106">
        <f>'P一般'!H15+'P原料'!H15</f>
        <v>0</v>
      </c>
      <c r="I15" s="106">
        <f>'P一般'!I15+'P原料'!I15</f>
        <v>0</v>
      </c>
      <c r="J15" s="108">
        <f>SUM(D15:I15)</f>
        <v>0</v>
      </c>
      <c r="K15" s="105">
        <f>'P一般'!K15+'P原料'!K15</f>
        <v>0</v>
      </c>
      <c r="L15" s="106">
        <f>'P一般'!L15+'P原料'!L15</f>
        <v>0</v>
      </c>
      <c r="M15" s="106">
        <f>'P一般'!M15+'P原料'!M15</f>
        <v>0</v>
      </c>
      <c r="N15" s="106">
        <f>'P一般'!N15+'P原料'!N15</f>
        <v>0</v>
      </c>
      <c r="O15" s="106">
        <f>'P一般'!O15+'P原料'!O15</f>
        <v>0</v>
      </c>
      <c r="P15" s="106">
        <f>'P一般'!P15+'P原料'!P15</f>
        <v>0</v>
      </c>
      <c r="Q15" s="108">
        <f>'P一般'!Q15+'P原料'!Q15</f>
        <v>0</v>
      </c>
      <c r="R15" s="109">
        <f>'P一般'!R15+'P原料'!R15</f>
        <v>0</v>
      </c>
      <c r="S15" s="45"/>
    </row>
    <row r="16" spans="1:19" s="46" customFormat="1" ht="13.5" customHeight="1" thickBot="1">
      <c r="A16" s="144"/>
      <c r="B16" s="20" t="s">
        <v>30</v>
      </c>
      <c r="C16" s="55" t="s">
        <v>6</v>
      </c>
      <c r="D16" s="75">
        <f aca="true" t="shared" si="6" ref="D16:I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6">
        <f t="shared" si="6"/>
        <v>0</v>
      </c>
      <c r="J16" s="58">
        <f>IF(J14=0,,(J15/J14)*1000)</f>
        <v>0</v>
      </c>
      <c r="K16" s="57">
        <f aca="true" t="shared" si="7" ref="K16:P16">IF(K14=0,,K15/K14*1000)</f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>IF(Q14=0,,Q15/Q14*1000)</f>
        <v>0</v>
      </c>
      <c r="R16" s="59">
        <f>IF(R14=0,,R15/R14*1000)</f>
        <v>0</v>
      </c>
      <c r="S16" s="60"/>
    </row>
    <row r="17" spans="1:19" s="46" customFormat="1" ht="13.5" customHeight="1">
      <c r="A17" s="142" t="s">
        <v>39</v>
      </c>
      <c r="B17" s="47" t="s">
        <v>26</v>
      </c>
      <c r="C17" s="48" t="s">
        <v>4</v>
      </c>
      <c r="D17" s="105">
        <f>'P一般'!D17+'P原料'!D17</f>
        <v>33879</v>
      </c>
      <c r="E17" s="106">
        <f>'P一般'!E17+'P原料'!E17</f>
        <v>125706</v>
      </c>
      <c r="F17" s="106">
        <f>'P一般'!F17+'P原料'!F17</f>
        <v>76025</v>
      </c>
      <c r="G17" s="106">
        <f>'P一般'!G17+'P原料'!G17</f>
        <v>62546</v>
      </c>
      <c r="H17" s="106">
        <f>'P一般'!H17+'P原料'!H17</f>
        <v>56490</v>
      </c>
      <c r="I17" s="106">
        <f>'P一般'!I17+'P原料'!I17</f>
        <v>77414</v>
      </c>
      <c r="J17" s="108">
        <f>SUM(D17:I17)</f>
        <v>432060</v>
      </c>
      <c r="K17" s="105">
        <f>'P一般'!K17+'P原料'!K17</f>
        <v>61594</v>
      </c>
      <c r="L17" s="106">
        <f>'P一般'!L17+'P原料'!L17</f>
        <v>122685</v>
      </c>
      <c r="M17" s="106">
        <f>'P一般'!M17+'P原料'!M17</f>
        <v>116118</v>
      </c>
      <c r="N17" s="106">
        <f>'P一般'!N17+'P原料'!N17</f>
        <v>91587</v>
      </c>
      <c r="O17" s="106">
        <f>'P一般'!O17+'P原料'!O17</f>
        <v>46937</v>
      </c>
      <c r="P17" s="106">
        <f>'P一般'!P17+'P原料'!P17</f>
        <v>164575</v>
      </c>
      <c r="Q17" s="108">
        <f>'P一般'!Q17+'P原料'!Q17</f>
        <v>603496</v>
      </c>
      <c r="R17" s="109">
        <f>'P一般'!R17+'P原料'!R17</f>
        <v>1035556</v>
      </c>
      <c r="S17" s="45"/>
    </row>
    <row r="18" spans="1:19" s="46" customFormat="1" ht="13.5" customHeight="1">
      <c r="A18" s="143"/>
      <c r="B18" s="47" t="s">
        <v>28</v>
      </c>
      <c r="C18" s="48" t="s">
        <v>5</v>
      </c>
      <c r="D18" s="105">
        <f>'P一般'!D18+'P原料'!D18</f>
        <v>1120803</v>
      </c>
      <c r="E18" s="106">
        <f>'P一般'!E18+'P原料'!E18</f>
        <v>4548754</v>
      </c>
      <c r="F18" s="106">
        <f>'P一般'!F18+'P原料'!F18</f>
        <v>2927577</v>
      </c>
      <c r="G18" s="106">
        <f>'P一般'!G18+'P原料'!G18</f>
        <v>2393038</v>
      </c>
      <c r="H18" s="106">
        <f>'P一般'!H18+'P原料'!H18</f>
        <v>2197877</v>
      </c>
      <c r="I18" s="106">
        <f>'P一般'!I18+'P原料'!I18</f>
        <v>3324105</v>
      </c>
      <c r="J18" s="108">
        <f>SUM(D18:I18)</f>
        <v>16512154</v>
      </c>
      <c r="K18" s="105">
        <f>'P一般'!K18+'P原料'!K18</f>
        <v>2849786</v>
      </c>
      <c r="L18" s="106">
        <f>'P一般'!L18+'P原料'!L18</f>
        <v>5903741</v>
      </c>
      <c r="M18" s="106">
        <f>'P一般'!M18+'P原料'!M18</f>
        <v>5640176</v>
      </c>
      <c r="N18" s="106">
        <f>'P一般'!N18+'P原料'!N18</f>
        <v>4214284</v>
      </c>
      <c r="O18" s="106">
        <f>'P一般'!O18+'P原料'!O18</f>
        <v>1951770</v>
      </c>
      <c r="P18" s="106">
        <f>'P一般'!P18+'P原料'!P18</f>
        <v>6998715</v>
      </c>
      <c r="Q18" s="108">
        <f>'P一般'!Q18+'P原料'!Q18</f>
        <v>27558472</v>
      </c>
      <c r="R18" s="109">
        <f>'P一般'!R18+'P原料'!R18</f>
        <v>44070626</v>
      </c>
      <c r="S18" s="45"/>
    </row>
    <row r="19" spans="1:19" s="46" customFormat="1" ht="13.5" customHeight="1" thickBot="1">
      <c r="A19" s="144"/>
      <c r="B19" s="20" t="s">
        <v>30</v>
      </c>
      <c r="C19" s="55" t="s">
        <v>6</v>
      </c>
      <c r="D19" s="75">
        <f aca="true" t="shared" si="8" ref="D19:I19">IF(D17=0,,D18/D17*1000)</f>
        <v>33082.529000265655</v>
      </c>
      <c r="E19" s="56">
        <f t="shared" si="8"/>
        <v>36185.65541819802</v>
      </c>
      <c r="F19" s="56">
        <f t="shared" si="8"/>
        <v>38508.0828674778</v>
      </c>
      <c r="G19" s="56">
        <f t="shared" si="8"/>
        <v>38260.44831004381</v>
      </c>
      <c r="H19" s="56">
        <f t="shared" si="8"/>
        <v>38907.364135245174</v>
      </c>
      <c r="I19" s="56">
        <f t="shared" si="8"/>
        <v>42939.32622006356</v>
      </c>
      <c r="J19" s="58">
        <f>IF(J17=0,,(J18/J17)*1000)</f>
        <v>38217.27074943295</v>
      </c>
      <c r="K19" s="57">
        <f aca="true" t="shared" si="9" ref="K19:R19">IF(K17=0,,K18/K17*1000)</f>
        <v>46267.26629217131</v>
      </c>
      <c r="L19" s="56">
        <f t="shared" si="9"/>
        <v>48121.1313526511</v>
      </c>
      <c r="M19" s="56">
        <f t="shared" si="9"/>
        <v>48572.79663790283</v>
      </c>
      <c r="N19" s="56">
        <f t="shared" si="9"/>
        <v>46013.99761974953</v>
      </c>
      <c r="O19" s="56">
        <f t="shared" si="9"/>
        <v>41582.75986961246</v>
      </c>
      <c r="P19" s="57">
        <f t="shared" si="9"/>
        <v>42525.99118942732</v>
      </c>
      <c r="Q19" s="58">
        <f t="shared" si="9"/>
        <v>45664.713602078555</v>
      </c>
      <c r="R19" s="59">
        <f t="shared" si="9"/>
        <v>42557.4531942261</v>
      </c>
      <c r="S19" s="60"/>
    </row>
    <row r="20" spans="1:19" s="46" customFormat="1" ht="13.5" customHeight="1">
      <c r="A20" s="151" t="s">
        <v>41</v>
      </c>
      <c r="B20" s="47" t="s">
        <v>26</v>
      </c>
      <c r="C20" s="48" t="s">
        <v>4</v>
      </c>
      <c r="D20" s="105">
        <f>'P一般'!D20+'P原料'!D20</f>
        <v>118764</v>
      </c>
      <c r="E20" s="106">
        <f>'P一般'!E20+'P原料'!E20</f>
        <v>126974</v>
      </c>
      <c r="F20" s="106">
        <f>'P一般'!F20+'P原料'!F20</f>
        <v>128712</v>
      </c>
      <c r="G20" s="106">
        <f>'P一般'!G20+'P原料'!G20</f>
        <v>81001</v>
      </c>
      <c r="H20" s="106">
        <f>'P一般'!H20+'P原料'!H20</f>
        <v>172626</v>
      </c>
      <c r="I20" s="106">
        <f>'P一般'!I20+'P原料'!I20</f>
        <v>160738</v>
      </c>
      <c r="J20" s="108">
        <f>SUM(D20:I20)</f>
        <v>788815</v>
      </c>
      <c r="K20" s="105">
        <f>'P一般'!K20+'P原料'!K20</f>
        <v>93299</v>
      </c>
      <c r="L20" s="106">
        <f>'P一般'!L20+'P原料'!L20</f>
        <v>153396</v>
      </c>
      <c r="M20" s="106">
        <f>'P一般'!M20+'P原料'!M20</f>
        <v>195270</v>
      </c>
      <c r="N20" s="106">
        <f>'P一般'!N20+'P原料'!N20</f>
        <v>113874</v>
      </c>
      <c r="O20" s="106">
        <f>'P一般'!O20+'P原料'!O20</f>
        <v>178697</v>
      </c>
      <c r="P20" s="106">
        <f>'P一般'!P20+'P原料'!P20</f>
        <v>190986</v>
      </c>
      <c r="Q20" s="108">
        <f>'P一般'!Q20+'P原料'!Q20</f>
        <v>925522</v>
      </c>
      <c r="R20" s="109">
        <f>'P一般'!R20+'P原料'!R20</f>
        <v>1714337</v>
      </c>
      <c r="S20" s="45"/>
    </row>
    <row r="21" spans="1:19" s="46" customFormat="1" ht="13.5" customHeight="1">
      <c r="A21" s="152"/>
      <c r="B21" s="47" t="s">
        <v>28</v>
      </c>
      <c r="C21" s="48" t="s">
        <v>5</v>
      </c>
      <c r="D21" s="105">
        <f>'P一般'!D21+'P原料'!D21</f>
        <v>3690525</v>
      </c>
      <c r="E21" s="106">
        <f>'P一般'!E21+'P原料'!E21</f>
        <v>4601160</v>
      </c>
      <c r="F21" s="106">
        <f>'P一般'!F21+'P原料'!F21</f>
        <v>5191028</v>
      </c>
      <c r="G21" s="106">
        <f>'P一般'!G21+'P原料'!G21</f>
        <v>3057141</v>
      </c>
      <c r="H21" s="106">
        <f>'P一般'!H21+'P原料'!H21</f>
        <v>6808554</v>
      </c>
      <c r="I21" s="106">
        <f>'P一般'!I21+'P原料'!I21</f>
        <v>6972064</v>
      </c>
      <c r="J21" s="108">
        <f>SUM(D21:I21)</f>
        <v>30320472</v>
      </c>
      <c r="K21" s="105">
        <f>'P一般'!K21+'P原料'!K21</f>
        <v>4263602</v>
      </c>
      <c r="L21" s="106">
        <f>'P一般'!L21+'P原料'!L21</f>
        <v>7525035</v>
      </c>
      <c r="M21" s="106">
        <f>'P一般'!M21+'P原料'!M21</f>
        <v>9626724</v>
      </c>
      <c r="N21" s="106">
        <f>'P一般'!N21+'P原料'!N21</f>
        <v>5315209</v>
      </c>
      <c r="O21" s="106">
        <f>'P一般'!O21+'P原料'!O21</f>
        <v>7446565</v>
      </c>
      <c r="P21" s="106">
        <f>'P一般'!P21+'P原料'!P21</f>
        <v>7637853</v>
      </c>
      <c r="Q21" s="108">
        <f>'P一般'!Q21+'P原料'!Q21</f>
        <v>41814988</v>
      </c>
      <c r="R21" s="109">
        <f>'P一般'!R21+'P原料'!R21</f>
        <v>72135460</v>
      </c>
      <c r="S21" s="45"/>
    </row>
    <row r="22" spans="1:19" s="46" customFormat="1" ht="13.5" customHeight="1" thickBot="1">
      <c r="A22" s="153"/>
      <c r="B22" s="20" t="s">
        <v>30</v>
      </c>
      <c r="C22" s="55" t="s">
        <v>6</v>
      </c>
      <c r="D22" s="75">
        <f aca="true" t="shared" si="10" ref="D22:I22">IF(D20=0,,D21/D20*1000)</f>
        <v>31074.44175002526</v>
      </c>
      <c r="E22" s="56">
        <f t="shared" si="10"/>
        <v>36237.024902736</v>
      </c>
      <c r="F22" s="56">
        <f t="shared" si="10"/>
        <v>40330.567468456706</v>
      </c>
      <c r="G22" s="56">
        <f t="shared" si="10"/>
        <v>37742.01553067246</v>
      </c>
      <c r="H22" s="56">
        <f t="shared" si="10"/>
        <v>39441.0691321122</v>
      </c>
      <c r="I22" s="56">
        <f t="shared" si="10"/>
        <v>43375.331284450476</v>
      </c>
      <c r="J22" s="58">
        <f>IF(J20=0,,(J21/J20)*1000)</f>
        <v>38438.0013057561</v>
      </c>
      <c r="K22" s="57">
        <f aca="true" t="shared" si="11" ref="K22:R22">IF(K20=0,,K21/K20*1000)</f>
        <v>45698.260431515875</v>
      </c>
      <c r="L22" s="56">
        <f t="shared" si="11"/>
        <v>49056.26613471016</v>
      </c>
      <c r="M22" s="56">
        <f t="shared" si="11"/>
        <v>49299.55446305116</v>
      </c>
      <c r="N22" s="56">
        <f t="shared" si="11"/>
        <v>46676.22986809983</v>
      </c>
      <c r="O22" s="56">
        <f t="shared" si="11"/>
        <v>41671.46062888577</v>
      </c>
      <c r="P22" s="57">
        <f t="shared" si="11"/>
        <v>39991.69049040244</v>
      </c>
      <c r="Q22" s="58">
        <f t="shared" si="11"/>
        <v>45179.89631796975</v>
      </c>
      <c r="R22" s="59">
        <f t="shared" si="11"/>
        <v>42077.75950702808</v>
      </c>
      <c r="S22" s="60"/>
    </row>
    <row r="23" spans="1:19" s="46" customFormat="1" ht="13.5" customHeight="1">
      <c r="A23" s="142" t="s">
        <v>42</v>
      </c>
      <c r="B23" s="47" t="s">
        <v>26</v>
      </c>
      <c r="C23" s="48" t="s">
        <v>4</v>
      </c>
      <c r="D23" s="105">
        <f>'P一般'!D23+'P原料'!D23</f>
        <v>46689</v>
      </c>
      <c r="E23" s="106">
        <f>'P一般'!E23+'P原料'!E23</f>
        <v>41034</v>
      </c>
      <c r="F23" s="106">
        <f>'P一般'!F23+'P原料'!F23</f>
        <v>37358</v>
      </c>
      <c r="G23" s="106">
        <f>'P一般'!G23+'P原料'!G23</f>
        <v>61123</v>
      </c>
      <c r="H23" s="106">
        <f>'P一般'!H23+'P原料'!H23</f>
        <v>29402</v>
      </c>
      <c r="I23" s="106">
        <f>'P一般'!I23+'P原料'!I23</f>
        <v>30645</v>
      </c>
      <c r="J23" s="108">
        <f>SUM(D23:I23)</f>
        <v>246251</v>
      </c>
      <c r="K23" s="105">
        <f>'P一般'!K23+'P原料'!K23</f>
        <v>33424</v>
      </c>
      <c r="L23" s="106">
        <f>'P一般'!L23+'P原料'!L23</f>
        <v>24935</v>
      </c>
      <c r="M23" s="106">
        <f>'P一般'!M23+'P原料'!M23</f>
        <v>56857</v>
      </c>
      <c r="N23" s="106">
        <f>'P一般'!N23+'P原料'!N23</f>
        <v>31472</v>
      </c>
      <c r="O23" s="106">
        <f>'P一般'!O23+'P原料'!O23</f>
        <v>40557</v>
      </c>
      <c r="P23" s="106">
        <f>'P一般'!P23+'P原料'!P23</f>
        <v>55213</v>
      </c>
      <c r="Q23" s="108">
        <f>'P一般'!Q23+'P原料'!Q23</f>
        <v>242458</v>
      </c>
      <c r="R23" s="109">
        <f>'P一般'!R23+'P原料'!R23</f>
        <v>488709</v>
      </c>
      <c r="S23" s="45"/>
    </row>
    <row r="24" spans="1:19" s="46" customFormat="1" ht="13.5" customHeight="1">
      <c r="A24" s="143"/>
      <c r="B24" s="47" t="s">
        <v>28</v>
      </c>
      <c r="C24" s="48" t="s">
        <v>5</v>
      </c>
      <c r="D24" s="105">
        <f>'P一般'!D24+'P原料'!D24</f>
        <v>1473933</v>
      </c>
      <c r="E24" s="106">
        <f>'P一般'!E24+'P原料'!E24</f>
        <v>1528007</v>
      </c>
      <c r="F24" s="106">
        <f>'P一般'!F24+'P原料'!F24</f>
        <v>1443933</v>
      </c>
      <c r="G24" s="106">
        <f>'P一般'!G24+'P原料'!G24</f>
        <v>2362665</v>
      </c>
      <c r="H24" s="106">
        <f>'P一般'!H24+'P原料'!H24</f>
        <v>1156603</v>
      </c>
      <c r="I24" s="106">
        <f>'P一般'!I24+'P原料'!I24</f>
        <v>1279067</v>
      </c>
      <c r="J24" s="108">
        <f>SUM(D24:I24)</f>
        <v>9244208</v>
      </c>
      <c r="K24" s="105">
        <f>'P一般'!K24+'P原料'!K24</f>
        <v>1542521</v>
      </c>
      <c r="L24" s="106">
        <f>'P一般'!L24+'P原料'!L24</f>
        <v>1191418</v>
      </c>
      <c r="M24" s="106">
        <f>'P一般'!M24+'P原料'!M24</f>
        <v>2866397</v>
      </c>
      <c r="N24" s="106">
        <f>'P一般'!N24+'P原料'!N24</f>
        <v>1283688</v>
      </c>
      <c r="O24" s="106">
        <f>'P一般'!O24+'P原料'!O24</f>
        <v>1682791</v>
      </c>
      <c r="P24" s="106">
        <f>'P一般'!P24+'P原料'!P24</f>
        <v>2323906</v>
      </c>
      <c r="Q24" s="108">
        <f>'P一般'!Q24+'P原料'!Q24</f>
        <v>10890721</v>
      </c>
      <c r="R24" s="109">
        <f>'P一般'!R24+'P原料'!R24</f>
        <v>20134929</v>
      </c>
      <c r="S24" s="45"/>
    </row>
    <row r="25" spans="1:19" s="46" customFormat="1" ht="13.5" customHeight="1" thickBot="1">
      <c r="A25" s="144"/>
      <c r="B25" s="20" t="s">
        <v>30</v>
      </c>
      <c r="C25" s="55" t="s">
        <v>6</v>
      </c>
      <c r="D25" s="75">
        <f aca="true" t="shared" si="12" ref="D25:I25">IF(D23=0,,D24/D23*1000)</f>
        <v>31569.170468418688</v>
      </c>
      <c r="E25" s="56">
        <f t="shared" si="12"/>
        <v>37237.583467368524</v>
      </c>
      <c r="F25" s="56">
        <f t="shared" si="12"/>
        <v>38651.23935970876</v>
      </c>
      <c r="G25" s="56">
        <f t="shared" si="12"/>
        <v>38654.27089638925</v>
      </c>
      <c r="H25" s="56">
        <f t="shared" si="12"/>
        <v>39337.56207060744</v>
      </c>
      <c r="I25" s="56">
        <f t="shared" si="12"/>
        <v>41738.195464186654</v>
      </c>
      <c r="J25" s="58">
        <f>IF(J23=0,,(J24/J23)*1000)</f>
        <v>37539.77851866591</v>
      </c>
      <c r="K25" s="57">
        <f aca="true" t="shared" si="13" ref="K25:P25">IF(K23=0,,K24/K23*1000)</f>
        <v>46150.10172331259</v>
      </c>
      <c r="L25" s="56">
        <f t="shared" si="13"/>
        <v>47780.95047122518</v>
      </c>
      <c r="M25" s="56">
        <f t="shared" si="13"/>
        <v>50414.144256643856</v>
      </c>
      <c r="N25" s="56">
        <f t="shared" si="13"/>
        <v>40788.25622775801</v>
      </c>
      <c r="O25" s="56">
        <f t="shared" si="13"/>
        <v>41491.998915107135</v>
      </c>
      <c r="P25" s="57">
        <f t="shared" si="13"/>
        <v>42089.83391592559</v>
      </c>
      <c r="Q25" s="58">
        <f>IF(Q23=0,,Q24/Q23*1000)</f>
        <v>44917.969297775286</v>
      </c>
      <c r="R25" s="59">
        <f>IF(R23=0,,R24/R23*1000)</f>
        <v>41200.24186172139</v>
      </c>
      <c r="S25" s="60"/>
    </row>
    <row r="26" spans="1:19" s="46" customFormat="1" ht="13.5" customHeight="1">
      <c r="A26" s="142" t="s">
        <v>44</v>
      </c>
      <c r="B26" s="47" t="s">
        <v>26</v>
      </c>
      <c r="C26" s="48" t="s">
        <v>4</v>
      </c>
      <c r="D26" s="105">
        <f>'P一般'!D26+'P原料'!D26</f>
        <v>44720</v>
      </c>
      <c r="E26" s="106">
        <f>'P一般'!E26+'P原料'!E26</f>
        <v>21012</v>
      </c>
      <c r="F26" s="106">
        <f>'P一般'!F26+'P原料'!F26</f>
        <v>12610</v>
      </c>
      <c r="G26" s="106">
        <f>'P一般'!G26+'P原料'!G26</f>
        <v>12083</v>
      </c>
      <c r="H26" s="106">
        <f>'P一般'!H26+'P原料'!H26</f>
        <v>598</v>
      </c>
      <c r="I26" s="106">
        <f>'P一般'!I26+'P原料'!I26</f>
        <v>165</v>
      </c>
      <c r="J26" s="108">
        <f>SUM(D26:I26)</f>
        <v>91188</v>
      </c>
      <c r="K26" s="105">
        <f>'P一般'!K26+'P原料'!K26</f>
        <v>0</v>
      </c>
      <c r="L26" s="106">
        <f>'P一般'!L26+'P原料'!L26</f>
        <v>33775</v>
      </c>
      <c r="M26" s="106">
        <f>'P一般'!M26+'P原料'!M26</f>
        <v>28488</v>
      </c>
      <c r="N26" s="106">
        <f>'P一般'!N26+'P原料'!N26</f>
        <v>19041</v>
      </c>
      <c r="O26" s="106">
        <f>'P一般'!O26+'P原料'!O26</f>
        <v>58137</v>
      </c>
      <c r="P26" s="106">
        <f>'P一般'!P26+'P原料'!P26</f>
        <v>25538</v>
      </c>
      <c r="Q26" s="108">
        <f>'P一般'!Q26+'P原料'!Q26</f>
        <v>164979</v>
      </c>
      <c r="R26" s="109">
        <f>'P一般'!R26+'P原料'!R26</f>
        <v>256167</v>
      </c>
      <c r="S26" s="45"/>
    </row>
    <row r="27" spans="1:19" s="46" customFormat="1" ht="13.5" customHeight="1">
      <c r="A27" s="143"/>
      <c r="B27" s="47" t="s">
        <v>28</v>
      </c>
      <c r="C27" s="48" t="s">
        <v>5</v>
      </c>
      <c r="D27" s="105">
        <f>'P一般'!D27+'P原料'!D27</f>
        <v>1474151</v>
      </c>
      <c r="E27" s="106">
        <f>'P一般'!E27+'P原料'!E27</f>
        <v>800927</v>
      </c>
      <c r="F27" s="106">
        <f>'P一般'!F27+'P原料'!F27</f>
        <v>477503</v>
      </c>
      <c r="G27" s="106">
        <f>'P一般'!G27+'P原料'!G27</f>
        <v>492787</v>
      </c>
      <c r="H27" s="106">
        <f>'P一般'!H27+'P原料'!H27</f>
        <v>25551</v>
      </c>
      <c r="I27" s="106">
        <f>'P一般'!I27+'P原料'!I27</f>
        <v>6442</v>
      </c>
      <c r="J27" s="108">
        <f>SUM(D27:I27)</f>
        <v>3277361</v>
      </c>
      <c r="K27" s="105">
        <f>'P一般'!K27+'P原料'!K27</f>
        <v>0</v>
      </c>
      <c r="L27" s="106">
        <f>'P一般'!L27+'P原料'!L27</f>
        <v>1705325</v>
      </c>
      <c r="M27" s="106">
        <f>'P一般'!M27+'P原料'!M27</f>
        <v>1382151</v>
      </c>
      <c r="N27" s="106">
        <f>'P一般'!N27+'P原料'!N27</f>
        <v>892657</v>
      </c>
      <c r="O27" s="106">
        <f>'P一般'!O27+'P原料'!O27</f>
        <v>2366464</v>
      </c>
      <c r="P27" s="106">
        <f>'P一般'!P27+'P原料'!P27</f>
        <v>1090876</v>
      </c>
      <c r="Q27" s="108">
        <f>'P一般'!Q27+'P原料'!Q27</f>
        <v>7437473</v>
      </c>
      <c r="R27" s="109">
        <f>'P一般'!R27+'P原料'!R27</f>
        <v>10714834</v>
      </c>
      <c r="S27" s="45"/>
    </row>
    <row r="28" spans="1:19" s="46" customFormat="1" ht="13.5" customHeight="1" thickBot="1">
      <c r="A28" s="144"/>
      <c r="B28" s="20" t="s">
        <v>30</v>
      </c>
      <c r="C28" s="55" t="s">
        <v>6</v>
      </c>
      <c r="D28" s="75">
        <f aca="true" t="shared" si="14" ref="D28:I28">IF(D26=0,,D27/D26*1000)</f>
        <v>32964.020572450805</v>
      </c>
      <c r="E28" s="56">
        <f t="shared" si="14"/>
        <v>38117.59946697126</v>
      </c>
      <c r="F28" s="56">
        <f t="shared" si="14"/>
        <v>37867.01030927835</v>
      </c>
      <c r="G28" s="56">
        <f t="shared" si="14"/>
        <v>40783.497475792436</v>
      </c>
      <c r="H28" s="56">
        <f t="shared" si="14"/>
        <v>42727.42474916388</v>
      </c>
      <c r="I28" s="56">
        <f t="shared" si="14"/>
        <v>39042.42424242424</v>
      </c>
      <c r="J28" s="58">
        <f>IF(J26=0,,(J27/J26)*1000)</f>
        <v>35940.704917313684</v>
      </c>
      <c r="K28" s="57">
        <f aca="true" t="shared" si="15" ref="K28:P28">IF(K26=0,,K27/K26*1000)</f>
        <v>0</v>
      </c>
      <c r="L28" s="56">
        <f t="shared" si="15"/>
        <v>50490.74759437454</v>
      </c>
      <c r="M28" s="56">
        <f t="shared" si="15"/>
        <v>48516.95450716091</v>
      </c>
      <c r="N28" s="56">
        <f t="shared" si="15"/>
        <v>46880.78357229137</v>
      </c>
      <c r="O28" s="56">
        <f t="shared" si="15"/>
        <v>40704.95553606137</v>
      </c>
      <c r="P28" s="57">
        <f t="shared" si="15"/>
        <v>42715.79606860365</v>
      </c>
      <c r="Q28" s="58">
        <f>IF(Q26=0,,Q27/Q26*1000)</f>
        <v>45081.3315634111</v>
      </c>
      <c r="R28" s="59">
        <f>IF(R26=0,,R27/R26*1000)</f>
        <v>41827.53438186808</v>
      </c>
      <c r="S28" s="60"/>
    </row>
    <row r="29" spans="1:19" s="46" customFormat="1" ht="13.5" customHeight="1">
      <c r="A29" s="142" t="s">
        <v>46</v>
      </c>
      <c r="B29" s="47" t="s">
        <v>26</v>
      </c>
      <c r="C29" s="48" t="s">
        <v>4</v>
      </c>
      <c r="D29" s="105">
        <f>'P一般'!D29+'P原料'!D29</f>
        <v>766</v>
      </c>
      <c r="E29" s="106">
        <f>'P一般'!E29+'P原料'!E29</f>
        <v>2987</v>
      </c>
      <c r="F29" s="106">
        <f>'P一般'!F29+'P原料'!F29</f>
        <v>410</v>
      </c>
      <c r="G29" s="106">
        <f>'P一般'!G29+'P原料'!G29</f>
        <v>1865</v>
      </c>
      <c r="H29" s="106">
        <f>'P一般'!H29+'P原料'!H29</f>
        <v>3755</v>
      </c>
      <c r="I29" s="106">
        <f>'P一般'!I29+'P原料'!I29</f>
        <v>2271</v>
      </c>
      <c r="J29" s="108">
        <f>SUM(D29:I29)</f>
        <v>12054</v>
      </c>
      <c r="K29" s="105">
        <f>'P一般'!K29+'P原料'!K29</f>
        <v>2036</v>
      </c>
      <c r="L29" s="106">
        <f>'P一般'!L29+'P原料'!L29</f>
        <v>753</v>
      </c>
      <c r="M29" s="106">
        <f>'P一般'!M29+'P原料'!M29</f>
        <v>756</v>
      </c>
      <c r="N29" s="106">
        <f>'P一般'!N29+'P原料'!N29</f>
        <v>767</v>
      </c>
      <c r="O29" s="106">
        <f>'P一般'!O29+'P原料'!O29</f>
        <v>772</v>
      </c>
      <c r="P29" s="106">
        <f>'P一般'!P29+'P原料'!P29</f>
        <v>0</v>
      </c>
      <c r="Q29" s="108">
        <f>'P一般'!Q29+'P原料'!Q29</f>
        <v>5084</v>
      </c>
      <c r="R29" s="109">
        <f>'P一般'!R29+'P原料'!R29</f>
        <v>17138</v>
      </c>
      <c r="S29" s="45"/>
    </row>
    <row r="30" spans="1:19" s="46" customFormat="1" ht="13.5" customHeight="1">
      <c r="A30" s="143"/>
      <c r="B30" s="47" t="s">
        <v>28</v>
      </c>
      <c r="C30" s="48" t="s">
        <v>5</v>
      </c>
      <c r="D30" s="105">
        <f>'P一般'!D30+'P原料'!D30</f>
        <v>26983</v>
      </c>
      <c r="E30" s="106">
        <f>'P一般'!E30+'P原料'!E30</f>
        <v>112626</v>
      </c>
      <c r="F30" s="106">
        <f>'P一般'!F30+'P原料'!F30</f>
        <v>17207</v>
      </c>
      <c r="G30" s="106">
        <f>'P一般'!G30+'P原料'!G30</f>
        <v>77027</v>
      </c>
      <c r="H30" s="106">
        <f>'P一般'!H30+'P原料'!H30</f>
        <v>162588</v>
      </c>
      <c r="I30" s="106">
        <f>'P一般'!I30+'P原料'!I30</f>
        <v>99728</v>
      </c>
      <c r="J30" s="108">
        <f>SUM(D30:I30)</f>
        <v>496159</v>
      </c>
      <c r="K30" s="105">
        <f>'P一般'!K30+'P原料'!K30</f>
        <v>105346</v>
      </c>
      <c r="L30" s="106">
        <f>'P一般'!L30+'P原料'!L30</f>
        <v>36914</v>
      </c>
      <c r="M30" s="106">
        <f>'P一般'!M30+'P原料'!M30</f>
        <v>41194</v>
      </c>
      <c r="N30" s="106">
        <f>'P一般'!N30+'P原料'!N30</f>
        <v>38329</v>
      </c>
      <c r="O30" s="106">
        <f>'P一般'!O30+'P原料'!O30</f>
        <v>34385</v>
      </c>
      <c r="P30" s="106">
        <f>'P一般'!P30+'P原料'!P30</f>
        <v>0</v>
      </c>
      <c r="Q30" s="108">
        <f>'P一般'!Q30+'P原料'!Q30</f>
        <v>256168</v>
      </c>
      <c r="R30" s="109">
        <f>'P一般'!R30+'P原料'!R30</f>
        <v>752327</v>
      </c>
      <c r="S30" s="45"/>
    </row>
    <row r="31" spans="1:19" s="46" customFormat="1" ht="13.5" customHeight="1" thickBot="1">
      <c r="A31" s="144"/>
      <c r="B31" s="20" t="s">
        <v>30</v>
      </c>
      <c r="C31" s="55" t="s">
        <v>6</v>
      </c>
      <c r="D31" s="75">
        <f aca="true" t="shared" si="16" ref="D31:I31">IF(D29=0,,D30/D29*1000)</f>
        <v>35225.84856396867</v>
      </c>
      <c r="E31" s="56">
        <f t="shared" si="16"/>
        <v>37705.390023434884</v>
      </c>
      <c r="F31" s="56">
        <f t="shared" si="16"/>
        <v>41968.29268292683</v>
      </c>
      <c r="G31" s="56">
        <f t="shared" si="16"/>
        <v>41301.34048257373</v>
      </c>
      <c r="H31" s="56">
        <f t="shared" si="16"/>
        <v>43299.06790945406</v>
      </c>
      <c r="I31" s="56">
        <f t="shared" si="16"/>
        <v>43913.694407749885</v>
      </c>
      <c r="J31" s="58">
        <f>IF(J29=0,,(J30/J29)*1000)</f>
        <v>41161.357225817155</v>
      </c>
      <c r="K31" s="57">
        <f aca="true" t="shared" si="17" ref="K31:R31">IF(K29=0,,K30/K29*1000)</f>
        <v>51741.65029469548</v>
      </c>
      <c r="L31" s="56">
        <f t="shared" si="17"/>
        <v>49022.57636122178</v>
      </c>
      <c r="M31" s="56">
        <f t="shared" si="17"/>
        <v>54489.41798941799</v>
      </c>
      <c r="N31" s="56">
        <f t="shared" si="17"/>
        <v>49972.620599739246</v>
      </c>
      <c r="O31" s="56">
        <f t="shared" si="17"/>
        <v>44540.155440414506</v>
      </c>
      <c r="P31" s="57">
        <f t="shared" si="17"/>
        <v>0</v>
      </c>
      <c r="Q31" s="58">
        <f t="shared" si="17"/>
        <v>50387.09677419355</v>
      </c>
      <c r="R31" s="59">
        <f t="shared" si="17"/>
        <v>43898.17948418719</v>
      </c>
      <c r="S31" s="60"/>
    </row>
    <row r="32" spans="1:19" s="46" customFormat="1" ht="13.5" customHeight="1">
      <c r="A32" s="142" t="s">
        <v>48</v>
      </c>
      <c r="B32" s="47" t="s">
        <v>26</v>
      </c>
      <c r="C32" s="48" t="s">
        <v>4</v>
      </c>
      <c r="D32" s="105">
        <f>'P一般'!D32+'P原料'!D32</f>
        <v>0</v>
      </c>
      <c r="E32" s="106">
        <f>'P一般'!E32+'P原料'!E32</f>
        <v>19805</v>
      </c>
      <c r="F32" s="106">
        <f>'P一般'!F32+'P原料'!F32</f>
        <v>0</v>
      </c>
      <c r="G32" s="106">
        <f>'P一般'!G32+'P原料'!G32</f>
        <v>0</v>
      </c>
      <c r="H32" s="106">
        <f>'P一般'!H32+'P原料'!H32</f>
        <v>0</v>
      </c>
      <c r="I32" s="106">
        <f>'P一般'!I32+'P原料'!I32</f>
        <v>0</v>
      </c>
      <c r="J32" s="108">
        <f>SUM(D32:I32)</f>
        <v>19805</v>
      </c>
      <c r="K32" s="105">
        <f>'P一般'!K32+'P原料'!K32</f>
        <v>0</v>
      </c>
      <c r="L32" s="106">
        <f>'P一般'!L32+'P原料'!L32</f>
        <v>0</v>
      </c>
      <c r="M32" s="106">
        <f>'P一般'!M32+'P原料'!M32</f>
        <v>21174</v>
      </c>
      <c r="N32" s="106">
        <f>'P一般'!N32+'P原料'!N32</f>
        <v>0</v>
      </c>
      <c r="O32" s="106">
        <f>'P一般'!O32+'P原料'!O32</f>
        <v>0</v>
      </c>
      <c r="P32" s="106">
        <f>'P一般'!P32+'P原料'!P32</f>
        <v>0</v>
      </c>
      <c r="Q32" s="108">
        <f>'P一般'!Q32+'P原料'!Q32</f>
        <v>21174</v>
      </c>
      <c r="R32" s="109">
        <f>'P一般'!R32+'P原料'!R32</f>
        <v>40979</v>
      </c>
      <c r="S32" s="45"/>
    </row>
    <row r="33" spans="1:19" s="46" customFormat="1" ht="13.5" customHeight="1">
      <c r="A33" s="143"/>
      <c r="B33" s="47" t="s">
        <v>28</v>
      </c>
      <c r="C33" s="48" t="s">
        <v>5</v>
      </c>
      <c r="D33" s="105">
        <f>'P一般'!D33+'P原料'!D33</f>
        <v>0</v>
      </c>
      <c r="E33" s="106">
        <f>'P一般'!E33+'P原料'!E33</f>
        <v>679511</v>
      </c>
      <c r="F33" s="106">
        <f>'P一般'!F33+'P原料'!F33</f>
        <v>0</v>
      </c>
      <c r="G33" s="106">
        <f>'P一般'!G33+'P原料'!G33</f>
        <v>0</v>
      </c>
      <c r="H33" s="106">
        <f>'P一般'!H33+'P原料'!H33</f>
        <v>0</v>
      </c>
      <c r="I33" s="106">
        <f>'P一般'!I33+'P原料'!I33</f>
        <v>0</v>
      </c>
      <c r="J33" s="108">
        <f>SUM(D33:I33)</f>
        <v>679511</v>
      </c>
      <c r="K33" s="105">
        <f>'P一般'!K33+'P原料'!K33</f>
        <v>0</v>
      </c>
      <c r="L33" s="106">
        <f>'P一般'!L33+'P原料'!L33</f>
        <v>0</v>
      </c>
      <c r="M33" s="106">
        <f>'P一般'!M33+'P原料'!M33</f>
        <v>1035559</v>
      </c>
      <c r="N33" s="106">
        <f>'P一般'!N33+'P原料'!N33</f>
        <v>0</v>
      </c>
      <c r="O33" s="106">
        <f>'P一般'!O33+'P原料'!O33</f>
        <v>0</v>
      </c>
      <c r="P33" s="106">
        <f>'P一般'!P33+'P原料'!P33</f>
        <v>0</v>
      </c>
      <c r="Q33" s="108">
        <f>'P一般'!Q33+'P原料'!Q33</f>
        <v>1035559</v>
      </c>
      <c r="R33" s="109">
        <f>'P一般'!R33+'P原料'!R33</f>
        <v>1715070</v>
      </c>
      <c r="S33" s="45"/>
    </row>
    <row r="34" spans="1:19" s="46" customFormat="1" ht="13.5" customHeight="1" thickBot="1">
      <c r="A34" s="144"/>
      <c r="B34" s="20" t="s">
        <v>30</v>
      </c>
      <c r="C34" s="55" t="s">
        <v>6</v>
      </c>
      <c r="D34" s="75">
        <f aca="true" t="shared" si="18" ref="D34:I34">IF(D32=0,,D33/D32*1000)</f>
        <v>0</v>
      </c>
      <c r="E34" s="56">
        <f t="shared" si="18"/>
        <v>34310.07321383489</v>
      </c>
      <c r="F34" s="56">
        <f t="shared" si="18"/>
        <v>0</v>
      </c>
      <c r="G34" s="56">
        <f t="shared" si="18"/>
        <v>0</v>
      </c>
      <c r="H34" s="56">
        <f t="shared" si="18"/>
        <v>0</v>
      </c>
      <c r="I34" s="56">
        <f t="shared" si="18"/>
        <v>0</v>
      </c>
      <c r="J34" s="58">
        <f>IF(J32=0,,(J33/J32)*1000)</f>
        <v>34310.07321383489</v>
      </c>
      <c r="K34" s="57">
        <f aca="true" t="shared" si="19" ref="K34:P34">IF(K32=0,,K33/K32*1000)</f>
        <v>0</v>
      </c>
      <c r="L34" s="56">
        <f t="shared" si="19"/>
        <v>0</v>
      </c>
      <c r="M34" s="56">
        <f t="shared" si="19"/>
        <v>48907.10305091149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>IF(Q32=0,,Q33/Q32*1000)</f>
        <v>48907.10305091149</v>
      </c>
      <c r="R34" s="59">
        <f>IF(R32=0,,R33/R32*1000)</f>
        <v>41852.412211132534</v>
      </c>
      <c r="S34" s="60"/>
    </row>
    <row r="35" spans="1:19" s="46" customFormat="1" ht="13.5" customHeight="1">
      <c r="A35" s="142" t="s">
        <v>50</v>
      </c>
      <c r="B35" s="47" t="s">
        <v>26</v>
      </c>
      <c r="C35" s="48" t="s">
        <v>4</v>
      </c>
      <c r="D35" s="105">
        <f>'P一般'!D35+'P原料'!D35</f>
        <v>0</v>
      </c>
      <c r="E35" s="106">
        <f>'P一般'!E35+'P原料'!E35</f>
        <v>9624</v>
      </c>
      <c r="F35" s="106">
        <f>'P一般'!F35+'P原料'!F35</f>
        <v>22667</v>
      </c>
      <c r="G35" s="106">
        <f>'P一般'!G35+'P原料'!G35</f>
        <v>0</v>
      </c>
      <c r="H35" s="106">
        <f>'P一般'!H35+'P原料'!H35</f>
        <v>0</v>
      </c>
      <c r="I35" s="106">
        <f>'P一般'!I35+'P原料'!I35</f>
        <v>0</v>
      </c>
      <c r="J35" s="108">
        <f>SUM(D35:I35)</f>
        <v>32291</v>
      </c>
      <c r="K35" s="105">
        <f>'P一般'!K35+'P原料'!K35</f>
        <v>0</v>
      </c>
      <c r="L35" s="106">
        <f>'P一般'!L35+'P原料'!L35</f>
        <v>22529</v>
      </c>
      <c r="M35" s="106">
        <f>'P一般'!M35+'P原料'!M35</f>
        <v>0</v>
      </c>
      <c r="N35" s="106">
        <f>'P一般'!N35+'P原料'!N35</f>
        <v>0</v>
      </c>
      <c r="O35" s="106">
        <f>'P一般'!O35+'P原料'!O35</f>
        <v>32439</v>
      </c>
      <c r="P35" s="106">
        <f>'P一般'!P35+'P原料'!P35</f>
        <v>20013</v>
      </c>
      <c r="Q35" s="108">
        <f>'P一般'!Q35+'P原料'!Q35</f>
        <v>74981</v>
      </c>
      <c r="R35" s="109">
        <f>'P一般'!R35+'P原料'!R35</f>
        <v>107272</v>
      </c>
      <c r="S35" s="45"/>
    </row>
    <row r="36" spans="1:19" s="46" customFormat="1" ht="13.5" customHeight="1">
      <c r="A36" s="143"/>
      <c r="B36" s="47" t="s">
        <v>28</v>
      </c>
      <c r="C36" s="48" t="s">
        <v>5</v>
      </c>
      <c r="D36" s="105">
        <f>'P一般'!D36+'P原料'!D36</f>
        <v>0</v>
      </c>
      <c r="E36" s="106">
        <f>'P一般'!E36+'P原料'!E36</f>
        <v>384732</v>
      </c>
      <c r="F36" s="106">
        <f>'P一般'!F36+'P原料'!F36</f>
        <v>921806</v>
      </c>
      <c r="G36" s="106">
        <f>'P一般'!G36+'P原料'!G36</f>
        <v>0</v>
      </c>
      <c r="H36" s="106">
        <f>'P一般'!H36+'P原料'!H36</f>
        <v>0</v>
      </c>
      <c r="I36" s="106">
        <f>'P一般'!I36+'P原料'!I36</f>
        <v>0</v>
      </c>
      <c r="J36" s="108">
        <f>SUM(D36:I36)</f>
        <v>1306538</v>
      </c>
      <c r="K36" s="105">
        <f>'P一般'!K36+'P原料'!K36</f>
        <v>0</v>
      </c>
      <c r="L36" s="106">
        <f>'P一般'!L36+'P原料'!L36</f>
        <v>1048244</v>
      </c>
      <c r="M36" s="106">
        <f>'P一般'!M36+'P原料'!M36</f>
        <v>0</v>
      </c>
      <c r="N36" s="106">
        <f>'P一般'!N36+'P原料'!N36</f>
        <v>0</v>
      </c>
      <c r="O36" s="106">
        <f>'P一般'!O36+'P原料'!O36</f>
        <v>1349534</v>
      </c>
      <c r="P36" s="106">
        <f>'P一般'!P36+'P原料'!P36</f>
        <v>861967</v>
      </c>
      <c r="Q36" s="108">
        <f>'P一般'!Q36+'P原料'!Q36</f>
        <v>3259745</v>
      </c>
      <c r="R36" s="109">
        <f>'P一般'!R36+'P原料'!R36</f>
        <v>4566283</v>
      </c>
      <c r="S36" s="45"/>
    </row>
    <row r="37" spans="1:19" s="46" customFormat="1" ht="13.5" customHeight="1" thickBot="1">
      <c r="A37" s="144"/>
      <c r="B37" s="20" t="s">
        <v>30</v>
      </c>
      <c r="C37" s="55" t="s">
        <v>6</v>
      </c>
      <c r="D37" s="75">
        <f aca="true" t="shared" si="20" ref="D37:I37">IF(D35=0,,D36/D35*1000)</f>
        <v>0</v>
      </c>
      <c r="E37" s="56">
        <f t="shared" si="20"/>
        <v>39976.30922693267</v>
      </c>
      <c r="F37" s="56">
        <f t="shared" si="20"/>
        <v>40667.313715974764</v>
      </c>
      <c r="G37" s="56">
        <f t="shared" si="20"/>
        <v>0</v>
      </c>
      <c r="H37" s="56">
        <f t="shared" si="20"/>
        <v>0</v>
      </c>
      <c r="I37" s="56">
        <f t="shared" si="20"/>
        <v>0</v>
      </c>
      <c r="J37" s="58">
        <f>IF(J35=0,,(J36/J35)*1000)</f>
        <v>40461.36694434982</v>
      </c>
      <c r="K37" s="57">
        <f aca="true" t="shared" si="21" ref="K37:P37">IF(K35=0,,K36/K35*1000)</f>
        <v>0</v>
      </c>
      <c r="L37" s="56">
        <f t="shared" si="21"/>
        <v>46528.65195969639</v>
      </c>
      <c r="M37" s="56">
        <f t="shared" si="21"/>
        <v>0</v>
      </c>
      <c r="N37" s="56">
        <f t="shared" si="21"/>
        <v>0</v>
      </c>
      <c r="O37" s="56">
        <f t="shared" si="21"/>
        <v>41602.20721970467</v>
      </c>
      <c r="P37" s="57">
        <f t="shared" si="21"/>
        <v>43070.35426972468</v>
      </c>
      <c r="Q37" s="58">
        <f>IF(Q35=0,,Q36/Q35*1000)</f>
        <v>43474.28015097158</v>
      </c>
      <c r="R37" s="59">
        <f>IF(R35=0,,R36/R35*1000)</f>
        <v>42567.333507345815</v>
      </c>
      <c r="S37" s="60"/>
    </row>
    <row r="38" spans="1:19" s="46" customFormat="1" ht="13.5" customHeight="1">
      <c r="A38" s="142" t="s">
        <v>52</v>
      </c>
      <c r="B38" s="47" t="s">
        <v>26</v>
      </c>
      <c r="C38" s="48" t="s">
        <v>4</v>
      </c>
      <c r="D38" s="105">
        <f>'P一般'!D38+'P原料'!D38</f>
        <v>5</v>
      </c>
      <c r="E38" s="106">
        <f>'P一般'!E38+'P原料'!E38</f>
        <v>0</v>
      </c>
      <c r="F38" s="106">
        <f>'P一般'!F38+'P原料'!F38</f>
        <v>26340</v>
      </c>
      <c r="G38" s="106">
        <f>'P一般'!G38+'P原料'!G38</f>
        <v>18826</v>
      </c>
      <c r="H38" s="133">
        <f>'P一般'!H38+'P原料'!H38</f>
        <v>22896</v>
      </c>
      <c r="I38" s="106">
        <f>'P一般'!I38+'P原料'!I38</f>
        <v>3</v>
      </c>
      <c r="J38" s="131">
        <f>SUM(D38:I38)</f>
        <v>68070</v>
      </c>
      <c r="K38" s="105">
        <f>'P一般'!K38+'P原料'!K38</f>
        <v>33060</v>
      </c>
      <c r="L38" s="133">
        <f>'P一般'!L38+'P原料'!L38</f>
        <v>10471</v>
      </c>
      <c r="M38" s="106">
        <f>'P一般'!M38+'P原料'!M38</f>
        <v>3</v>
      </c>
      <c r="N38" s="106">
        <f>'P一般'!N38+'P原料'!N38</f>
        <v>1</v>
      </c>
      <c r="O38" s="106">
        <f>'P一般'!O38+'P原料'!O38</f>
        <v>10843</v>
      </c>
      <c r="P38" s="106">
        <f>'P一般'!P38+'P原料'!P38</f>
        <v>1</v>
      </c>
      <c r="Q38" s="131">
        <f>'P一般'!Q38+'P原料'!Q38</f>
        <v>54379</v>
      </c>
      <c r="R38" s="134">
        <f>'P一般'!R38+'P原料'!R38</f>
        <v>122449</v>
      </c>
      <c r="S38" s="45"/>
    </row>
    <row r="39" spans="1:19" s="46" customFormat="1" ht="13.5" customHeight="1">
      <c r="A39" s="143"/>
      <c r="B39" s="47" t="s">
        <v>28</v>
      </c>
      <c r="C39" s="48" t="s">
        <v>5</v>
      </c>
      <c r="D39" s="105">
        <f>'P一般'!D39+'P原料'!D39</f>
        <v>4268</v>
      </c>
      <c r="E39" s="106">
        <f>'P一般'!E39+'P原料'!E39</f>
        <v>0</v>
      </c>
      <c r="F39" s="106">
        <f>'P一般'!F39+'P原料'!F39</f>
        <v>997610</v>
      </c>
      <c r="G39" s="106">
        <f>'P一般'!G39+'P原料'!G39</f>
        <v>730573</v>
      </c>
      <c r="H39" s="133">
        <f>'P一般'!H39+'P原料'!H39</f>
        <v>865592</v>
      </c>
      <c r="I39" s="106">
        <f>'P一般'!I39+'P原料'!I39</f>
        <v>1780</v>
      </c>
      <c r="J39" s="131">
        <f>SUM(D39:I39)</f>
        <v>2599823</v>
      </c>
      <c r="K39" s="105">
        <f>'P一般'!K39+'P原料'!K39</f>
        <v>1501943</v>
      </c>
      <c r="L39" s="133">
        <f>'P一般'!L39+'P原料'!L39</f>
        <v>560159</v>
      </c>
      <c r="M39" s="106">
        <f>'P一般'!M39+'P原料'!M39</f>
        <v>1610</v>
      </c>
      <c r="N39" s="106">
        <f>'P一般'!N39+'P原料'!N39</f>
        <v>705</v>
      </c>
      <c r="O39" s="106">
        <f>'P一般'!O39+'P原料'!O39</f>
        <v>464115</v>
      </c>
      <c r="P39" s="106">
        <f>'P一般'!P39+'P原料'!P39</f>
        <v>707</v>
      </c>
      <c r="Q39" s="131">
        <f>'P一般'!Q39+'P原料'!Q39</f>
        <v>2529239</v>
      </c>
      <c r="R39" s="134">
        <f>'P一般'!R39+'P原料'!R39</f>
        <v>5129062</v>
      </c>
      <c r="S39" s="45"/>
    </row>
    <row r="40" spans="1:19" s="46" customFormat="1" ht="13.5" customHeight="1" thickBot="1">
      <c r="A40" s="144"/>
      <c r="B40" s="20" t="s">
        <v>30</v>
      </c>
      <c r="C40" s="55" t="s">
        <v>6</v>
      </c>
      <c r="D40" s="75">
        <f aca="true" t="shared" si="22" ref="D40:I40">IF(D38=0,,D39/D38*1000)</f>
        <v>853600</v>
      </c>
      <c r="E40" s="56">
        <f t="shared" si="22"/>
        <v>0</v>
      </c>
      <c r="F40" s="56">
        <f t="shared" si="22"/>
        <v>37874.335611237664</v>
      </c>
      <c r="G40" s="56">
        <f t="shared" si="22"/>
        <v>38806.597259109745</v>
      </c>
      <c r="H40" s="130">
        <f t="shared" si="22"/>
        <v>37805.38085255066</v>
      </c>
      <c r="I40" s="56">
        <f t="shared" si="22"/>
        <v>593333.3333333334</v>
      </c>
      <c r="J40" s="132">
        <f>IF(J38=0,,(J39/J38)*1000)</f>
        <v>38193.374467459966</v>
      </c>
      <c r="K40" s="57">
        <f aca="true" t="shared" si="23" ref="K40:P40">IF(K38=0,,K39/K38*1000)</f>
        <v>45430.82274652148</v>
      </c>
      <c r="L40" s="130">
        <f t="shared" si="23"/>
        <v>53496.22767643969</v>
      </c>
      <c r="M40" s="56">
        <f t="shared" si="23"/>
        <v>536666.6666666666</v>
      </c>
      <c r="N40" s="56">
        <f t="shared" si="23"/>
        <v>705000</v>
      </c>
      <c r="O40" s="56">
        <f t="shared" si="23"/>
        <v>42803.190998801074</v>
      </c>
      <c r="P40" s="57">
        <f t="shared" si="23"/>
        <v>707000</v>
      </c>
      <c r="Q40" s="132">
        <f>IF(Q38=0,,Q39/Q38*1000)</f>
        <v>46511.31870758932</v>
      </c>
      <c r="R40" s="135">
        <f>IF(R38=0,,R39/R38*1000)</f>
        <v>41887.332685444555</v>
      </c>
      <c r="S40" s="60"/>
    </row>
    <row r="41" spans="1:19" s="46" customFormat="1" ht="18" customHeight="1">
      <c r="A41" s="142" t="s">
        <v>7</v>
      </c>
      <c r="B41" s="47" t="s">
        <v>26</v>
      </c>
      <c r="C41" s="77" t="s">
        <v>4</v>
      </c>
      <c r="D41" s="105">
        <f>'P一般'!D41+'P原料'!D41</f>
        <v>738524</v>
      </c>
      <c r="E41" s="106">
        <f>'P一般'!E41+'P原料'!E41</f>
        <v>916541</v>
      </c>
      <c r="F41" s="106">
        <f>'P一般'!F41+'P原料'!F41</f>
        <v>838702</v>
      </c>
      <c r="G41" s="106">
        <f>'P一般'!G41+'P原料'!G41</f>
        <v>519008</v>
      </c>
      <c r="H41" s="133">
        <f>'P一般'!H41+'P原料'!H41</f>
        <v>759701</v>
      </c>
      <c r="I41" s="106">
        <f>'P一般'!I41+'P原料'!I41</f>
        <v>673688</v>
      </c>
      <c r="J41" s="131">
        <f>SUM(D41:I41)</f>
        <v>4446164</v>
      </c>
      <c r="K41" s="105">
        <f>'P一般'!K41+'P原料'!K41</f>
        <v>717645</v>
      </c>
      <c r="L41" s="133">
        <f>'P一般'!L41+'P原料'!L41</f>
        <v>779278</v>
      </c>
      <c r="M41" s="106">
        <f>'P一般'!M41+'P原料'!M41</f>
        <v>888545</v>
      </c>
      <c r="N41" s="106">
        <f>'P一般'!N41+'P原料'!N41</f>
        <v>791139</v>
      </c>
      <c r="O41" s="106">
        <f>'P一般'!O41+'P原料'!O41</f>
        <v>964897</v>
      </c>
      <c r="P41" s="106">
        <f>'P一般'!P41+'P原料'!P41</f>
        <v>1005209</v>
      </c>
      <c r="Q41" s="131">
        <f>'P一般'!Q41+'P原料'!Q41</f>
        <v>5146713</v>
      </c>
      <c r="R41" s="134">
        <f>'P一般'!R41+'P原料'!R41</f>
        <v>9592877</v>
      </c>
      <c r="S41" s="45"/>
    </row>
    <row r="42" spans="1:19" s="46" customFormat="1" ht="18" customHeight="1">
      <c r="A42" s="143"/>
      <c r="B42" s="47" t="s">
        <v>28</v>
      </c>
      <c r="C42" s="78" t="s">
        <v>5</v>
      </c>
      <c r="D42" s="105">
        <f>'P一般'!D42+'P原料'!D42</f>
        <v>24047809</v>
      </c>
      <c r="E42" s="106">
        <f>'P一般'!E42+'P原料'!E42</f>
        <v>33743370</v>
      </c>
      <c r="F42" s="133">
        <f>'P一般'!F42+'P原料'!F42</f>
        <v>33106977</v>
      </c>
      <c r="G42" s="106">
        <f>'P一般'!G42+'P原料'!G42</f>
        <v>20024323</v>
      </c>
      <c r="H42" s="133">
        <f>'P一般'!H42+'P原料'!H42</f>
        <v>29581301</v>
      </c>
      <c r="I42" s="106">
        <f>'P一般'!I42+'P原料'!I42</f>
        <v>28593108</v>
      </c>
      <c r="J42" s="131">
        <f>SUM(D42:I42)</f>
        <v>169096888</v>
      </c>
      <c r="K42" s="105">
        <f>'P一般'!K42+'P原料'!K42</f>
        <v>33017592</v>
      </c>
      <c r="L42" s="133">
        <f>'P一般'!L42+'P原料'!L42</f>
        <v>38269466</v>
      </c>
      <c r="M42" s="106">
        <f>'P一般'!M42+'P原料'!M42</f>
        <v>43446967</v>
      </c>
      <c r="N42" s="106">
        <f>'P一般'!N42+'P原料'!N42</f>
        <v>36360908</v>
      </c>
      <c r="O42" s="106">
        <f>'P一般'!O42+'P原料'!O42</f>
        <v>40102512</v>
      </c>
      <c r="P42" s="106">
        <f>'P一般'!P42+'P原料'!P42</f>
        <v>42568162</v>
      </c>
      <c r="Q42" s="131">
        <f>'P一般'!Q42+'P原料'!Q42</f>
        <v>233765607</v>
      </c>
      <c r="R42" s="134">
        <f>'P一般'!R42+'P原料'!R42</f>
        <v>402862495</v>
      </c>
      <c r="S42" s="45"/>
    </row>
    <row r="43" spans="1:19" s="46" customFormat="1" ht="18" customHeight="1" thickBot="1">
      <c r="A43" s="145"/>
      <c r="B43" s="20" t="s">
        <v>30</v>
      </c>
      <c r="C43" s="79" t="s">
        <v>6</v>
      </c>
      <c r="D43" s="75">
        <f aca="true" t="shared" si="24" ref="D43:I43">IF(D41=0,,D42/D41*1000)</f>
        <v>32561.987152753332</v>
      </c>
      <c r="E43" s="56">
        <f t="shared" si="24"/>
        <v>36815.99622930126</v>
      </c>
      <c r="F43" s="130">
        <f t="shared" si="24"/>
        <v>39474.06468566905</v>
      </c>
      <c r="G43" s="56">
        <f t="shared" si="24"/>
        <v>38581.915885689625</v>
      </c>
      <c r="H43" s="130">
        <f t="shared" si="24"/>
        <v>38938.083535496204</v>
      </c>
      <c r="I43" s="56">
        <f t="shared" si="24"/>
        <v>42442.6559475603</v>
      </c>
      <c r="J43" s="132">
        <f>IF(J41=0,,(J42/J41)*1000)</f>
        <v>38032.08518624145</v>
      </c>
      <c r="K43" s="57">
        <f aca="true" t="shared" si="25" ref="K43:P43">IF(K41=0,,K42/K41*1000)</f>
        <v>46008.25199088686</v>
      </c>
      <c r="L43" s="130">
        <f t="shared" si="25"/>
        <v>49108.87513826901</v>
      </c>
      <c r="M43" s="56">
        <f t="shared" si="25"/>
        <v>48896.75480701597</v>
      </c>
      <c r="N43" s="56">
        <f>IF(N41=0,,N42/N41*1000)</f>
        <v>45960.20168390131</v>
      </c>
      <c r="O43" s="56">
        <f t="shared" si="25"/>
        <v>41561.44334576644</v>
      </c>
      <c r="P43" s="57">
        <f t="shared" si="25"/>
        <v>42347.57348969219</v>
      </c>
      <c r="Q43" s="132">
        <f>IF(Q41=0,,Q42/Q41*1000)</f>
        <v>45420.36966117986</v>
      </c>
      <c r="R43" s="135">
        <f>IF(R41=0,,R42/R41*1000)</f>
        <v>41996.003388764395</v>
      </c>
      <c r="S43" s="60"/>
    </row>
    <row r="44" spans="1:19" s="46" customFormat="1" ht="24" customHeight="1" thickBot="1">
      <c r="A44" s="146" t="s">
        <v>23</v>
      </c>
      <c r="B44" s="147"/>
      <c r="C44" s="148"/>
      <c r="D44" s="74">
        <f>'P一般'!D44</f>
        <v>106.25</v>
      </c>
      <c r="E44" s="64">
        <f>'P一般'!E44</f>
        <v>110.39</v>
      </c>
      <c r="F44" s="64">
        <f>'P一般'!F44</f>
        <v>111.1</v>
      </c>
      <c r="G44" s="64">
        <f>'P一般'!G44</f>
        <v>108.75</v>
      </c>
      <c r="H44" s="64">
        <f>'P一般'!H44</f>
        <v>110.45</v>
      </c>
      <c r="I44" s="63">
        <f>'P一般'!I44</f>
        <v>109.73</v>
      </c>
      <c r="J44" s="62">
        <v>109.55</v>
      </c>
      <c r="K44" s="63">
        <f>'P一般'!K44</f>
        <v>110.29</v>
      </c>
      <c r="L44" s="64">
        <f>'P一般'!L44</f>
        <v>106.67</v>
      </c>
      <c r="M44" s="64">
        <f>'P一般'!M44</f>
        <v>103.64</v>
      </c>
      <c r="N44" s="64">
        <f>'P一般'!N44</f>
        <v>103.66</v>
      </c>
      <c r="O44" s="64">
        <f>'P一般'!O44</f>
        <v>103.83</v>
      </c>
      <c r="P44" s="63">
        <f>'P一般'!P44</f>
        <v>104.83</v>
      </c>
      <c r="Q44" s="89">
        <v>105.35</v>
      </c>
      <c r="R44" s="84">
        <v>107.34</v>
      </c>
      <c r="S44" s="45"/>
    </row>
    <row r="45" ht="15.75" customHeight="1">
      <c r="A45" s="113"/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8" width="10.7109375" style="0" customWidth="1"/>
    <col min="19" max="19" width="8.140625" style="0" customWidth="1"/>
  </cols>
  <sheetData>
    <row r="2" spans="1:16" ht="27" customHeight="1">
      <c r="A2" s="17" t="s">
        <v>55</v>
      </c>
      <c r="B2" s="34" t="s">
        <v>75</v>
      </c>
      <c r="C2" s="1"/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8" customHeight="1" thickBot="1">
      <c r="A3" s="21" t="s">
        <v>0</v>
      </c>
      <c r="B3" s="42" t="s">
        <v>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6" t="s">
        <v>32</v>
      </c>
      <c r="B5" s="47" t="s">
        <v>26</v>
      </c>
      <c r="C5" s="48" t="s">
        <v>4</v>
      </c>
      <c r="D5" s="66">
        <v>66731</v>
      </c>
      <c r="E5" s="67">
        <v>112094</v>
      </c>
      <c r="F5" s="67">
        <v>67694</v>
      </c>
      <c r="G5" s="67">
        <v>57017</v>
      </c>
      <c r="H5" s="67">
        <v>129670</v>
      </c>
      <c r="I5" s="68">
        <v>41166</v>
      </c>
      <c r="J5" s="108">
        <f>SUM(D5:I5)</f>
        <v>474372</v>
      </c>
      <c r="K5" s="68">
        <v>105904</v>
      </c>
      <c r="L5" s="67">
        <v>78843</v>
      </c>
      <c r="M5" s="67">
        <v>24685</v>
      </c>
      <c r="N5" s="67">
        <v>33595</v>
      </c>
      <c r="O5" s="67">
        <v>50295</v>
      </c>
      <c r="P5" s="68">
        <v>78240</v>
      </c>
      <c r="Q5" s="108">
        <f>SUM(K5:P5)</f>
        <v>371562</v>
      </c>
      <c r="R5" s="109">
        <f>J5+Q5</f>
        <v>845934</v>
      </c>
      <c r="S5" s="45"/>
    </row>
    <row r="6" spans="1:19" s="46" customFormat="1" ht="13.5" customHeight="1">
      <c r="A6" s="143"/>
      <c r="B6" s="47" t="s">
        <v>28</v>
      </c>
      <c r="C6" s="48" t="s">
        <v>5</v>
      </c>
      <c r="D6" s="66">
        <v>2190179</v>
      </c>
      <c r="E6" s="67">
        <v>4331460</v>
      </c>
      <c r="F6" s="67">
        <v>2776477</v>
      </c>
      <c r="G6" s="67">
        <v>2304034</v>
      </c>
      <c r="H6" s="67">
        <v>5125271</v>
      </c>
      <c r="I6" s="68">
        <v>1731370</v>
      </c>
      <c r="J6" s="108">
        <f>SUM(D6:I6)</f>
        <v>18458791</v>
      </c>
      <c r="K6" s="107">
        <v>4985975</v>
      </c>
      <c r="L6" s="106">
        <v>3917402</v>
      </c>
      <c r="M6" s="106">
        <v>1249573</v>
      </c>
      <c r="N6" s="106">
        <v>1687606</v>
      </c>
      <c r="O6" s="106">
        <v>2088789</v>
      </c>
      <c r="P6" s="107">
        <v>3408569</v>
      </c>
      <c r="Q6" s="108">
        <f>SUM(K6:P6)</f>
        <v>17337914</v>
      </c>
      <c r="R6" s="109">
        <f>J6+Q6</f>
        <v>35796705</v>
      </c>
      <c r="S6" s="45"/>
    </row>
    <row r="7" spans="1:19" s="46" customFormat="1" ht="13.5" customHeight="1" thickBot="1">
      <c r="A7" s="144"/>
      <c r="B7" s="20" t="s">
        <v>30</v>
      </c>
      <c r="C7" s="55" t="s">
        <v>6</v>
      </c>
      <c r="D7" s="65">
        <f aca="true" t="shared" si="0" ref="D7:I7">IF(D5=0,,D6/D5*1000)</f>
        <v>32821.012722722575</v>
      </c>
      <c r="E7" s="56">
        <f t="shared" si="0"/>
        <v>38641.31889307188</v>
      </c>
      <c r="F7" s="56">
        <f t="shared" si="0"/>
        <v>41015.112122196944</v>
      </c>
      <c r="G7" s="56">
        <f t="shared" si="0"/>
        <v>40409.597137695775</v>
      </c>
      <c r="H7" s="56">
        <f t="shared" si="0"/>
        <v>39525.49548854785</v>
      </c>
      <c r="I7" s="57">
        <f t="shared" si="0"/>
        <v>42058.25195549725</v>
      </c>
      <c r="J7" s="58">
        <f>(J6/J5)*1000</f>
        <v>38912.05846888096</v>
      </c>
      <c r="K7" s="57">
        <f aca="true" t="shared" si="1" ref="K7:Q7">IF(K5=0,,K6/K5*1000)</f>
        <v>47080.138616105156</v>
      </c>
      <c r="L7" s="56">
        <f t="shared" si="1"/>
        <v>49686.11037124412</v>
      </c>
      <c r="M7" s="56">
        <f t="shared" si="1"/>
        <v>50620.74134089528</v>
      </c>
      <c r="N7" s="56">
        <f t="shared" si="1"/>
        <v>50233.84432207174</v>
      </c>
      <c r="O7" s="56">
        <f t="shared" si="1"/>
        <v>41530.74858335819</v>
      </c>
      <c r="P7" s="57">
        <f t="shared" si="1"/>
        <v>43565.55470347648</v>
      </c>
      <c r="Q7" s="58">
        <f t="shared" si="1"/>
        <v>46662.23671957843</v>
      </c>
      <c r="R7" s="59">
        <f>(R6/R5)*1000</f>
        <v>42316.19133407571</v>
      </c>
      <c r="S7" s="60"/>
    </row>
    <row r="8" spans="1:19" s="46" customFormat="1" ht="13.5" customHeight="1">
      <c r="A8" s="142" t="s">
        <v>33</v>
      </c>
      <c r="B8" s="47" t="s">
        <v>26</v>
      </c>
      <c r="C8" s="48" t="s">
        <v>4</v>
      </c>
      <c r="D8" s="66">
        <v>25293</v>
      </c>
      <c r="E8" s="67">
        <v>48687</v>
      </c>
      <c r="F8" s="67">
        <v>47160</v>
      </c>
      <c r="G8" s="67">
        <v>23622</v>
      </c>
      <c r="H8" s="67">
        <v>46032</v>
      </c>
      <c r="I8" s="68">
        <v>38055</v>
      </c>
      <c r="J8" s="108">
        <f>SUM(D8:I8)</f>
        <v>228849</v>
      </c>
      <c r="K8" s="68">
        <v>23669</v>
      </c>
      <c r="L8" s="67">
        <v>11798</v>
      </c>
      <c r="M8" s="67">
        <v>21117</v>
      </c>
      <c r="N8" s="67">
        <v>17178</v>
      </c>
      <c r="O8" s="67">
        <v>38847</v>
      </c>
      <c r="P8" s="68">
        <v>23019</v>
      </c>
      <c r="Q8" s="108">
        <f>SUM(K8:P8)</f>
        <v>135628</v>
      </c>
      <c r="R8" s="109">
        <f>J8+Q8</f>
        <v>364477</v>
      </c>
      <c r="S8" s="45"/>
    </row>
    <row r="9" spans="1:19" s="46" customFormat="1" ht="13.5" customHeight="1">
      <c r="A9" s="143"/>
      <c r="B9" s="47" t="s">
        <v>28</v>
      </c>
      <c r="C9" s="48" t="s">
        <v>5</v>
      </c>
      <c r="D9" s="66">
        <v>781124</v>
      </c>
      <c r="E9" s="67">
        <v>1740146</v>
      </c>
      <c r="F9" s="67">
        <v>1877876</v>
      </c>
      <c r="G9" s="67">
        <v>969467</v>
      </c>
      <c r="H9" s="67">
        <v>1846523</v>
      </c>
      <c r="I9" s="68">
        <v>1578716</v>
      </c>
      <c r="J9" s="108">
        <f>SUM(D9:I9)</f>
        <v>8793852</v>
      </c>
      <c r="K9" s="107">
        <v>1088259</v>
      </c>
      <c r="L9" s="106">
        <v>632051</v>
      </c>
      <c r="M9" s="106">
        <v>1039702</v>
      </c>
      <c r="N9" s="106">
        <v>833050</v>
      </c>
      <c r="O9" s="106">
        <v>1653925</v>
      </c>
      <c r="P9" s="107">
        <v>976343</v>
      </c>
      <c r="Q9" s="108">
        <f>SUM(K9:P9)</f>
        <v>6223330</v>
      </c>
      <c r="R9" s="109">
        <f>J9+Q9</f>
        <v>15017182</v>
      </c>
      <c r="S9" s="45"/>
    </row>
    <row r="10" spans="1:19" s="46" customFormat="1" ht="13.5" customHeight="1" thickBot="1">
      <c r="A10" s="144"/>
      <c r="B10" s="20" t="s">
        <v>30</v>
      </c>
      <c r="C10" s="55" t="s">
        <v>6</v>
      </c>
      <c r="D10" s="65">
        <f aca="true" t="shared" si="2" ref="D10:I10">IF(D8=0,,D9/D8*1000)</f>
        <v>30883.011109793224</v>
      </c>
      <c r="E10" s="56">
        <f t="shared" si="2"/>
        <v>35741.491568591206</v>
      </c>
      <c r="F10" s="56">
        <f t="shared" si="2"/>
        <v>39819.25360474979</v>
      </c>
      <c r="G10" s="56">
        <f t="shared" si="2"/>
        <v>41040.851748370165</v>
      </c>
      <c r="H10" s="56">
        <f t="shared" si="2"/>
        <v>40113.89902676399</v>
      </c>
      <c r="I10" s="57">
        <f t="shared" si="2"/>
        <v>41485.11365129418</v>
      </c>
      <c r="J10" s="58">
        <f>(J9/J8)*1000</f>
        <v>38426.43839387544</v>
      </c>
      <c r="K10" s="57">
        <f aca="true" t="shared" si="3" ref="K10:Q10">IF(K8=0,,K9/K8*1000)</f>
        <v>45978.24158181588</v>
      </c>
      <c r="L10" s="56">
        <f t="shared" si="3"/>
        <v>53572.724190540765</v>
      </c>
      <c r="M10" s="56">
        <f t="shared" si="3"/>
        <v>49235.308045650425</v>
      </c>
      <c r="N10" s="56">
        <f t="shared" si="3"/>
        <v>48495.16823844452</v>
      </c>
      <c r="O10" s="56">
        <f t="shared" si="3"/>
        <v>42575.35974463923</v>
      </c>
      <c r="P10" s="57">
        <f t="shared" si="3"/>
        <v>42414.65745688345</v>
      </c>
      <c r="Q10" s="58">
        <f t="shared" si="3"/>
        <v>45885.28917332704</v>
      </c>
      <c r="R10" s="59">
        <f>(R9/R8)*1000</f>
        <v>41202.00177240265</v>
      </c>
      <c r="S10" s="45"/>
    </row>
    <row r="11" spans="1:19" s="46" customFormat="1" ht="13.5" customHeight="1">
      <c r="A11" s="142" t="s">
        <v>35</v>
      </c>
      <c r="B11" s="47" t="s">
        <v>26</v>
      </c>
      <c r="C11" s="48" t="s">
        <v>4</v>
      </c>
      <c r="D11" s="66"/>
      <c r="E11" s="67"/>
      <c r="F11" s="67">
        <v>21161</v>
      </c>
      <c r="G11" s="67">
        <v>2291</v>
      </c>
      <c r="H11" s="67">
        <v>13525</v>
      </c>
      <c r="I11" s="68">
        <v>11769</v>
      </c>
      <c r="J11" s="108">
        <f>SUM(D11:I11)</f>
        <v>48746</v>
      </c>
      <c r="K11" s="68">
        <v>5996</v>
      </c>
      <c r="L11" s="67">
        <v>19372</v>
      </c>
      <c r="M11" s="67">
        <v>10627</v>
      </c>
      <c r="N11" s="67">
        <v>20931</v>
      </c>
      <c r="O11" s="67">
        <v>18588</v>
      </c>
      <c r="P11" s="68">
        <v>16427</v>
      </c>
      <c r="Q11" s="108">
        <f>SUM(K11:P11)</f>
        <v>91941</v>
      </c>
      <c r="R11" s="109">
        <f>J11+Q11</f>
        <v>140687</v>
      </c>
      <c r="S11" s="45"/>
    </row>
    <row r="12" spans="1:19" s="46" customFormat="1" ht="13.5" customHeight="1">
      <c r="A12" s="143"/>
      <c r="B12" s="47" t="s">
        <v>28</v>
      </c>
      <c r="C12" s="48" t="s">
        <v>5</v>
      </c>
      <c r="D12" s="66"/>
      <c r="E12" s="106"/>
      <c r="F12" s="106">
        <v>846622</v>
      </c>
      <c r="G12" s="67">
        <v>84779</v>
      </c>
      <c r="H12" s="106">
        <v>521382</v>
      </c>
      <c r="I12" s="107">
        <v>480871</v>
      </c>
      <c r="J12" s="108">
        <f>SUM(D12:I12)</f>
        <v>1933654</v>
      </c>
      <c r="K12" s="107">
        <v>272878</v>
      </c>
      <c r="L12" s="106">
        <v>994918</v>
      </c>
      <c r="M12" s="106">
        <v>564739</v>
      </c>
      <c r="N12" s="106">
        <v>1027194</v>
      </c>
      <c r="O12" s="106">
        <v>820512</v>
      </c>
      <c r="P12" s="107">
        <v>703760</v>
      </c>
      <c r="Q12" s="108">
        <f>SUM(K12:P12)</f>
        <v>4384001</v>
      </c>
      <c r="R12" s="109">
        <f>J12+Q12</f>
        <v>6317655</v>
      </c>
      <c r="S12" s="45"/>
    </row>
    <row r="13" spans="1:19" s="46" customFormat="1" ht="13.5" customHeight="1" thickBot="1">
      <c r="A13" s="144"/>
      <c r="B13" s="20" t="s">
        <v>30</v>
      </c>
      <c r="C13" s="55" t="s">
        <v>6</v>
      </c>
      <c r="D13" s="65">
        <f aca="true" t="shared" si="4" ref="D13:I13">IF(D11=0,,D12/D11*1000)</f>
        <v>0</v>
      </c>
      <c r="E13" s="56">
        <f t="shared" si="4"/>
        <v>0</v>
      </c>
      <c r="F13" s="56">
        <f t="shared" si="4"/>
        <v>40008.60072775389</v>
      </c>
      <c r="G13" s="56">
        <f t="shared" si="4"/>
        <v>37005.23788738542</v>
      </c>
      <c r="H13" s="56">
        <f t="shared" si="4"/>
        <v>38549.50092421442</v>
      </c>
      <c r="I13" s="57">
        <f t="shared" si="4"/>
        <v>40859.121420681455</v>
      </c>
      <c r="J13" s="58">
        <f>(J12/J11)*1000</f>
        <v>39667.95224223526</v>
      </c>
      <c r="K13" s="57">
        <f aca="true" t="shared" si="5" ref="K13:Q13">IF(K11=0,,K12/K11*1000)</f>
        <v>45510.006671114075</v>
      </c>
      <c r="L13" s="56">
        <f t="shared" si="5"/>
        <v>51358.5587445798</v>
      </c>
      <c r="M13" s="56">
        <f t="shared" si="5"/>
        <v>53141.90270066811</v>
      </c>
      <c r="N13" s="56">
        <f t="shared" si="5"/>
        <v>49075.2472409345</v>
      </c>
      <c r="O13" s="56">
        <f t="shared" si="5"/>
        <v>44142.02711426727</v>
      </c>
      <c r="P13" s="57">
        <f t="shared" si="5"/>
        <v>42841.663115602365</v>
      </c>
      <c r="Q13" s="58">
        <f t="shared" si="5"/>
        <v>47682.76394644391</v>
      </c>
      <c r="R13" s="59">
        <f>(R12/R11)*1000</f>
        <v>44905.748221228685</v>
      </c>
      <c r="S13" s="60"/>
    </row>
    <row r="14" spans="1:19" s="46" customFormat="1" ht="13.5" customHeight="1">
      <c r="A14" s="142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108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43"/>
      <c r="B15" s="47" t="s">
        <v>28</v>
      </c>
      <c r="C15" s="48" t="s">
        <v>5</v>
      </c>
      <c r="D15" s="49"/>
      <c r="E15" s="50"/>
      <c r="F15" s="50"/>
      <c r="G15" s="50"/>
      <c r="H15" s="50"/>
      <c r="I15" s="107"/>
      <c r="J15" s="108">
        <f>SUM(D15:I15)</f>
        <v>0</v>
      </c>
      <c r="K15" s="51"/>
      <c r="L15" s="106"/>
      <c r="M15" s="50"/>
      <c r="N15" s="50"/>
      <c r="O15" s="50"/>
      <c r="P15" s="51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44"/>
      <c r="B16" s="20" t="s">
        <v>30</v>
      </c>
      <c r="C16" s="55" t="s">
        <v>6</v>
      </c>
      <c r="D16" s="65">
        <f aca="true" t="shared" si="6" ref="D16:I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7">
        <f t="shared" si="6"/>
        <v>0</v>
      </c>
      <c r="J16" s="58">
        <f aca="true" t="shared" si="7" ref="J16:R16">IF(J14=0,,J15/J14*1000)</f>
        <v>0</v>
      </c>
      <c r="K16" s="57">
        <f t="shared" si="7"/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 t="shared" si="7"/>
        <v>0</v>
      </c>
      <c r="R16" s="59">
        <f t="shared" si="7"/>
        <v>0</v>
      </c>
      <c r="S16" s="60"/>
    </row>
    <row r="17" spans="1:19" s="46" customFormat="1" ht="13.5" customHeight="1">
      <c r="A17" s="142" t="s">
        <v>39</v>
      </c>
      <c r="B17" s="47" t="s">
        <v>26</v>
      </c>
      <c r="C17" s="48" t="s">
        <v>4</v>
      </c>
      <c r="D17" s="66">
        <v>4575</v>
      </c>
      <c r="E17" s="67">
        <v>35177</v>
      </c>
      <c r="F17" s="67">
        <v>19946</v>
      </c>
      <c r="G17" s="67">
        <v>5853</v>
      </c>
      <c r="H17" s="67">
        <v>24211</v>
      </c>
      <c r="I17" s="68">
        <v>28717</v>
      </c>
      <c r="J17" s="108">
        <f>SUM(D17:I17)</f>
        <v>118479</v>
      </c>
      <c r="K17" s="68">
        <v>11873</v>
      </c>
      <c r="L17" s="67">
        <v>45733</v>
      </c>
      <c r="M17" s="67">
        <v>38472</v>
      </c>
      <c r="N17" s="67">
        <v>29421</v>
      </c>
      <c r="O17" s="67">
        <v>23539</v>
      </c>
      <c r="P17" s="68">
        <v>72977</v>
      </c>
      <c r="Q17" s="108">
        <f>SUM(K17:P17)</f>
        <v>222015</v>
      </c>
      <c r="R17" s="109">
        <f>J17+Q17</f>
        <v>340494</v>
      </c>
      <c r="S17" s="45"/>
    </row>
    <row r="18" spans="1:19" s="46" customFormat="1" ht="13.5" customHeight="1">
      <c r="A18" s="143"/>
      <c r="B18" s="47" t="s">
        <v>28</v>
      </c>
      <c r="C18" s="48" t="s">
        <v>5</v>
      </c>
      <c r="D18" s="66">
        <v>141684</v>
      </c>
      <c r="E18" s="67">
        <v>1295424</v>
      </c>
      <c r="F18" s="67">
        <v>782688</v>
      </c>
      <c r="G18" s="67">
        <v>240718</v>
      </c>
      <c r="H18" s="67">
        <v>982776</v>
      </c>
      <c r="I18" s="68">
        <v>1230956</v>
      </c>
      <c r="J18" s="108">
        <f>SUM(D18:I18)</f>
        <v>4674246</v>
      </c>
      <c r="K18" s="107">
        <v>556257</v>
      </c>
      <c r="L18" s="106">
        <v>2285150</v>
      </c>
      <c r="M18" s="106">
        <v>1929689</v>
      </c>
      <c r="N18" s="106">
        <v>1383344</v>
      </c>
      <c r="O18" s="106">
        <v>1008494</v>
      </c>
      <c r="P18" s="107">
        <v>3139791</v>
      </c>
      <c r="Q18" s="108">
        <f>SUM(K18:P18)</f>
        <v>10302725</v>
      </c>
      <c r="R18" s="109">
        <f>J18+Q18</f>
        <v>14976971</v>
      </c>
      <c r="S18" s="45"/>
    </row>
    <row r="19" spans="1:19" s="46" customFormat="1" ht="13.5" customHeight="1" thickBot="1">
      <c r="A19" s="144"/>
      <c r="B19" s="20" t="s">
        <v>30</v>
      </c>
      <c r="C19" s="55" t="s">
        <v>6</v>
      </c>
      <c r="D19" s="65">
        <f aca="true" t="shared" si="8" ref="D19:I19">IF(D17=0,,D18/D17*1000)</f>
        <v>30969.180327868853</v>
      </c>
      <c r="E19" s="56">
        <f t="shared" si="8"/>
        <v>36825.88054694829</v>
      </c>
      <c r="F19" s="56">
        <f t="shared" si="8"/>
        <v>39240.34894214379</v>
      </c>
      <c r="G19" s="56">
        <f t="shared" si="8"/>
        <v>41127.28515291304</v>
      </c>
      <c r="H19" s="56">
        <f t="shared" si="8"/>
        <v>40592.12754533064</v>
      </c>
      <c r="I19" s="57">
        <f t="shared" si="8"/>
        <v>42865.06250652923</v>
      </c>
      <c r="J19" s="58">
        <f>(J18/J17)*1000</f>
        <v>39452.10543640645</v>
      </c>
      <c r="K19" s="57">
        <f aca="true" t="shared" si="9" ref="K19:Q19">IF(K17=0,,K18/K17*1000)</f>
        <v>46850.585361745136</v>
      </c>
      <c r="L19" s="56">
        <f t="shared" si="9"/>
        <v>49967.20092712046</v>
      </c>
      <c r="M19" s="56">
        <f t="shared" si="9"/>
        <v>50158.27095030152</v>
      </c>
      <c r="N19" s="56">
        <f t="shared" si="9"/>
        <v>47018.932055334626</v>
      </c>
      <c r="O19" s="56">
        <f t="shared" si="9"/>
        <v>42843.53625897447</v>
      </c>
      <c r="P19" s="57">
        <f t="shared" si="9"/>
        <v>43024.391246557134</v>
      </c>
      <c r="Q19" s="58">
        <f t="shared" si="9"/>
        <v>46405.535662004826</v>
      </c>
      <c r="R19" s="59">
        <f>(R18/R17)*1000</f>
        <v>43986.00562711825</v>
      </c>
      <c r="S19" s="60"/>
    </row>
    <row r="20" spans="1:19" s="46" customFormat="1" ht="13.5" customHeight="1">
      <c r="A20" s="151" t="s">
        <v>41</v>
      </c>
      <c r="B20" s="47" t="s">
        <v>26</v>
      </c>
      <c r="C20" s="48" t="s">
        <v>4</v>
      </c>
      <c r="D20" s="66">
        <f>70295-22077</f>
        <v>48218</v>
      </c>
      <c r="E20" s="67">
        <v>58091</v>
      </c>
      <c r="F20" s="67">
        <v>116410</v>
      </c>
      <c r="G20" s="67">
        <f>111547-13303</f>
        <v>98244</v>
      </c>
      <c r="H20" s="67">
        <f>129039-22983</f>
        <v>106056</v>
      </c>
      <c r="I20" s="68">
        <v>103376</v>
      </c>
      <c r="J20" s="108">
        <f>SUM(D20:I20)</f>
        <v>530395</v>
      </c>
      <c r="K20" s="68">
        <v>17848</v>
      </c>
      <c r="L20" s="67">
        <f>156595-22045</f>
        <v>134550</v>
      </c>
      <c r="M20" s="67">
        <v>128402</v>
      </c>
      <c r="N20" s="67">
        <v>37927</v>
      </c>
      <c r="O20" s="67">
        <f>103879-20511</f>
        <v>83368</v>
      </c>
      <c r="P20" s="68">
        <f>113007-33019</f>
        <v>79988</v>
      </c>
      <c r="Q20" s="108">
        <f>SUM(K20:P20)</f>
        <v>482083</v>
      </c>
      <c r="R20" s="109">
        <f>J20+Q20</f>
        <v>1012478</v>
      </c>
      <c r="S20" s="45"/>
    </row>
    <row r="21" spans="1:19" s="46" customFormat="1" ht="13.5" customHeight="1">
      <c r="A21" s="152"/>
      <c r="B21" s="47" t="s">
        <v>28</v>
      </c>
      <c r="C21" s="48" t="s">
        <v>5</v>
      </c>
      <c r="D21" s="66">
        <f>1913147-497749</f>
        <v>1415398</v>
      </c>
      <c r="E21" s="67">
        <v>2119028</v>
      </c>
      <c r="F21" s="67">
        <v>4697428</v>
      </c>
      <c r="G21" s="129">
        <f>4291508-341802+2302</f>
        <v>3952008</v>
      </c>
      <c r="H21" s="67">
        <f>4905799-611756</f>
        <v>4294043</v>
      </c>
      <c r="I21" s="68">
        <v>4487849</v>
      </c>
      <c r="J21" s="131">
        <f>SUM(D21:I21)</f>
        <v>20965754</v>
      </c>
      <c r="K21" s="107">
        <v>826105</v>
      </c>
      <c r="L21" s="106">
        <f>7297773-614132</f>
        <v>6683641</v>
      </c>
      <c r="M21" s="106">
        <v>6556476</v>
      </c>
      <c r="N21" s="106">
        <v>1724198</v>
      </c>
      <c r="O21" s="106">
        <f>4116788-610363</f>
        <v>3506425</v>
      </c>
      <c r="P21" s="107">
        <f>4332790-1100193</f>
        <v>3232597</v>
      </c>
      <c r="Q21" s="108">
        <f>SUM(K21:P21)</f>
        <v>22529442</v>
      </c>
      <c r="R21" s="134">
        <f>J21+Q21</f>
        <v>43495196</v>
      </c>
      <c r="S21" s="45"/>
    </row>
    <row r="22" spans="1:19" s="46" customFormat="1" ht="13.5" customHeight="1" thickBot="1">
      <c r="A22" s="153"/>
      <c r="B22" s="20" t="s">
        <v>30</v>
      </c>
      <c r="C22" s="55" t="s">
        <v>6</v>
      </c>
      <c r="D22" s="65">
        <f aca="true" t="shared" si="10" ref="D22:I22">IF(D20=0,,D21/D20*1000)</f>
        <v>29354.141606868805</v>
      </c>
      <c r="E22" s="56">
        <f t="shared" si="10"/>
        <v>36477.73321168511</v>
      </c>
      <c r="F22" s="56">
        <f t="shared" si="10"/>
        <v>40352.44394811442</v>
      </c>
      <c r="G22" s="130">
        <f t="shared" si="10"/>
        <v>40226.45657750092</v>
      </c>
      <c r="H22" s="56">
        <f t="shared" si="10"/>
        <v>40488.44949837821</v>
      </c>
      <c r="I22" s="57">
        <f t="shared" si="10"/>
        <v>43412.87145952639</v>
      </c>
      <c r="J22" s="132">
        <f>(J21/J20)*1000</f>
        <v>39528.566445762124</v>
      </c>
      <c r="K22" s="57">
        <f aca="true" t="shared" si="11" ref="K22:Q22">IF(K20=0,,K21/K20*1000)</f>
        <v>46285.57821604662</v>
      </c>
      <c r="L22" s="56">
        <f t="shared" si="11"/>
        <v>49674.03195837978</v>
      </c>
      <c r="M22" s="56">
        <f t="shared" si="11"/>
        <v>51062.10183641999</v>
      </c>
      <c r="N22" s="56">
        <f t="shared" si="11"/>
        <v>45460.96448440425</v>
      </c>
      <c r="O22" s="56">
        <f t="shared" si="11"/>
        <v>42059.60320506669</v>
      </c>
      <c r="P22" s="57">
        <f t="shared" si="11"/>
        <v>40413.52452867931</v>
      </c>
      <c r="Q22" s="58">
        <f t="shared" si="11"/>
        <v>46733.5334371882</v>
      </c>
      <c r="R22" s="135">
        <f>(R21/R20)*1000</f>
        <v>42959.1517050247</v>
      </c>
      <c r="S22" s="60"/>
    </row>
    <row r="23" spans="1:19" s="46" customFormat="1" ht="13.5" customHeight="1">
      <c r="A23" s="142" t="s">
        <v>42</v>
      </c>
      <c r="B23" s="47" t="s">
        <v>26</v>
      </c>
      <c r="C23" s="48" t="s">
        <v>4</v>
      </c>
      <c r="D23" s="66">
        <v>48378</v>
      </c>
      <c r="E23" s="67">
        <v>23366</v>
      </c>
      <c r="F23" s="67">
        <v>39219</v>
      </c>
      <c r="G23" s="67">
        <v>68010</v>
      </c>
      <c r="H23" s="67">
        <v>35764</v>
      </c>
      <c r="I23" s="68">
        <v>36589</v>
      </c>
      <c r="J23" s="108">
        <f>SUM(D23:I23)</f>
        <v>251326</v>
      </c>
      <c r="K23" s="68">
        <v>37081</v>
      </c>
      <c r="L23" s="67">
        <v>60523</v>
      </c>
      <c r="M23" s="67">
        <v>66328</v>
      </c>
      <c r="N23" s="67">
        <v>26655</v>
      </c>
      <c r="O23" s="67">
        <v>46831</v>
      </c>
      <c r="P23" s="68">
        <v>55048</v>
      </c>
      <c r="Q23" s="108">
        <f>SUM(K23:P23)</f>
        <v>292466</v>
      </c>
      <c r="R23" s="109">
        <f>J23+Q23</f>
        <v>543792</v>
      </c>
      <c r="S23" s="45"/>
    </row>
    <row r="24" spans="1:19" s="46" customFormat="1" ht="13.5" customHeight="1">
      <c r="A24" s="143"/>
      <c r="B24" s="47" t="s">
        <v>28</v>
      </c>
      <c r="C24" s="48" t="s">
        <v>5</v>
      </c>
      <c r="D24" s="66">
        <v>1600636</v>
      </c>
      <c r="E24" s="67">
        <v>833829</v>
      </c>
      <c r="F24" s="67">
        <v>1525119</v>
      </c>
      <c r="G24" s="67">
        <v>2769286</v>
      </c>
      <c r="H24" s="67">
        <v>1480819</v>
      </c>
      <c r="I24" s="68">
        <v>1581862</v>
      </c>
      <c r="J24" s="108">
        <f>SUM(D24:I24)</f>
        <v>9791551</v>
      </c>
      <c r="K24" s="107">
        <v>1713960</v>
      </c>
      <c r="L24" s="106">
        <v>2926209</v>
      </c>
      <c r="M24" s="106">
        <v>3399542</v>
      </c>
      <c r="N24" s="106">
        <v>1096130</v>
      </c>
      <c r="O24" s="106">
        <v>1978570</v>
      </c>
      <c r="P24" s="107">
        <v>2381939</v>
      </c>
      <c r="Q24" s="108">
        <f>SUM(K24:P24)</f>
        <v>13496350</v>
      </c>
      <c r="R24" s="109">
        <f>J24+Q24</f>
        <v>23287901</v>
      </c>
      <c r="S24" s="45"/>
    </row>
    <row r="25" spans="1:19" s="46" customFormat="1" ht="13.5" customHeight="1" thickBot="1">
      <c r="A25" s="144"/>
      <c r="B25" s="20" t="s">
        <v>30</v>
      </c>
      <c r="C25" s="55" t="s">
        <v>6</v>
      </c>
      <c r="D25" s="65">
        <f aca="true" t="shared" si="12" ref="D25:I25">IF(D23=0,,D24/D23*1000)</f>
        <v>33086.03084046467</v>
      </c>
      <c r="E25" s="56">
        <f t="shared" si="12"/>
        <v>35685.56877514337</v>
      </c>
      <c r="F25" s="56">
        <f t="shared" si="12"/>
        <v>38887.248527499425</v>
      </c>
      <c r="G25" s="56">
        <f t="shared" si="12"/>
        <v>40718.80605793266</v>
      </c>
      <c r="H25" s="56">
        <f t="shared" si="12"/>
        <v>41405.295828207134</v>
      </c>
      <c r="I25" s="57">
        <f t="shared" si="12"/>
        <v>43233.26682882833</v>
      </c>
      <c r="J25" s="58">
        <f>(J24/J23)*1000</f>
        <v>38959.562480602886</v>
      </c>
      <c r="K25" s="57">
        <f aca="true" t="shared" si="13" ref="K25:Q25">IF(K23=0,,K24/K23*1000)</f>
        <v>46222.054421401794</v>
      </c>
      <c r="L25" s="56">
        <f t="shared" si="13"/>
        <v>48348.71040761364</v>
      </c>
      <c r="M25" s="56">
        <f t="shared" si="13"/>
        <v>51253.49776866481</v>
      </c>
      <c r="N25" s="56">
        <f t="shared" si="13"/>
        <v>41122.86625398612</v>
      </c>
      <c r="O25" s="56">
        <f t="shared" si="13"/>
        <v>42249.1512032628</v>
      </c>
      <c r="P25" s="57">
        <f t="shared" si="13"/>
        <v>43270.218718209566</v>
      </c>
      <c r="Q25" s="58">
        <f t="shared" si="13"/>
        <v>46146.73158589374</v>
      </c>
      <c r="R25" s="59">
        <f>(R24/R23)*1000</f>
        <v>42825.01581487039</v>
      </c>
      <c r="S25" s="60"/>
    </row>
    <row r="26" spans="1:19" s="46" customFormat="1" ht="13.5" customHeight="1">
      <c r="A26" s="142" t="s">
        <v>44</v>
      </c>
      <c r="B26" s="47" t="s">
        <v>26</v>
      </c>
      <c r="C26" s="48" t="s">
        <v>4</v>
      </c>
      <c r="D26" s="66">
        <v>44316</v>
      </c>
      <c r="E26" s="67">
        <v>8877</v>
      </c>
      <c r="F26" s="67">
        <v>10384</v>
      </c>
      <c r="G26" s="67">
        <v>13146</v>
      </c>
      <c r="H26" s="67">
        <v>42703</v>
      </c>
      <c r="I26" s="68">
        <v>44927</v>
      </c>
      <c r="J26" s="108">
        <f>SUM(D26:I26)</f>
        <v>164353</v>
      </c>
      <c r="K26" s="68">
        <v>43710</v>
      </c>
      <c r="L26" s="67">
        <v>33020</v>
      </c>
      <c r="M26" s="67">
        <v>21770</v>
      </c>
      <c r="N26" s="67">
        <v>32304</v>
      </c>
      <c r="O26" s="67">
        <v>50529</v>
      </c>
      <c r="P26" s="68">
        <v>32184</v>
      </c>
      <c r="Q26" s="108">
        <f>SUM(K26:P26)</f>
        <v>213517</v>
      </c>
      <c r="R26" s="109">
        <f>J26+Q26</f>
        <v>377870</v>
      </c>
      <c r="S26" s="45"/>
    </row>
    <row r="27" spans="1:19" s="46" customFormat="1" ht="13.5" customHeight="1">
      <c r="A27" s="143"/>
      <c r="B27" s="47" t="s">
        <v>28</v>
      </c>
      <c r="C27" s="48" t="s">
        <v>5</v>
      </c>
      <c r="D27" s="66">
        <v>1477322</v>
      </c>
      <c r="E27" s="67">
        <v>325046</v>
      </c>
      <c r="F27" s="67">
        <v>391954</v>
      </c>
      <c r="G27" s="67">
        <v>563952</v>
      </c>
      <c r="H27" s="67">
        <v>1722275</v>
      </c>
      <c r="I27" s="68">
        <v>1894544</v>
      </c>
      <c r="J27" s="108">
        <f>SUM(D27:I27)</f>
        <v>6375093</v>
      </c>
      <c r="K27" s="107">
        <v>1981191</v>
      </c>
      <c r="L27" s="106">
        <v>1691517</v>
      </c>
      <c r="M27" s="106">
        <v>1092842</v>
      </c>
      <c r="N27" s="106">
        <v>1506360</v>
      </c>
      <c r="O27" s="106">
        <v>2137692</v>
      </c>
      <c r="P27" s="107">
        <v>1398701</v>
      </c>
      <c r="Q27" s="108">
        <f>SUM(K27:P27)</f>
        <v>9808303</v>
      </c>
      <c r="R27" s="109">
        <f>J27+Q27</f>
        <v>16183396</v>
      </c>
      <c r="S27" s="45"/>
    </row>
    <row r="28" spans="1:19" s="46" customFormat="1" ht="13.5" customHeight="1" thickBot="1">
      <c r="A28" s="144"/>
      <c r="B28" s="20" t="s">
        <v>30</v>
      </c>
      <c r="C28" s="55" t="s">
        <v>6</v>
      </c>
      <c r="D28" s="65">
        <f aca="true" t="shared" si="14" ref="D28:I28">IF(D26=0,,D27/D26*1000)</f>
        <v>33336.0862893763</v>
      </c>
      <c r="E28" s="56">
        <f t="shared" si="14"/>
        <v>36616.64976906613</v>
      </c>
      <c r="F28" s="56">
        <f t="shared" si="14"/>
        <v>37745.95531587057</v>
      </c>
      <c r="G28" s="56">
        <f t="shared" si="14"/>
        <v>42899.13281606572</v>
      </c>
      <c r="H28" s="56">
        <f t="shared" si="14"/>
        <v>40331.47554036016</v>
      </c>
      <c r="I28" s="57">
        <f t="shared" si="14"/>
        <v>42169.38589267033</v>
      </c>
      <c r="J28" s="58">
        <f>(J27/J26)*1000</f>
        <v>38789.02727665452</v>
      </c>
      <c r="K28" s="57">
        <f aca="true" t="shared" si="15" ref="K28:Q28">IF(K26=0,,K27/K26*1000)</f>
        <v>45325.80645161291</v>
      </c>
      <c r="L28" s="56">
        <f t="shared" si="15"/>
        <v>51227.04421562689</v>
      </c>
      <c r="M28" s="56">
        <f t="shared" si="15"/>
        <v>50199.44878272853</v>
      </c>
      <c r="N28" s="56">
        <f t="shared" si="15"/>
        <v>46630.75780089153</v>
      </c>
      <c r="O28" s="56">
        <f t="shared" si="15"/>
        <v>42306.239981001</v>
      </c>
      <c r="P28" s="57">
        <f t="shared" si="15"/>
        <v>43459.51404424559</v>
      </c>
      <c r="Q28" s="58">
        <f t="shared" si="15"/>
        <v>45936.87153716097</v>
      </c>
      <c r="R28" s="59">
        <f>(R27/R26)*1000</f>
        <v>42827.946119035645</v>
      </c>
      <c r="S28" s="60"/>
    </row>
    <row r="29" spans="1:19" s="46" customFormat="1" ht="13.5" customHeight="1">
      <c r="A29" s="142" t="s">
        <v>46</v>
      </c>
      <c r="B29" s="47" t="s">
        <v>26</v>
      </c>
      <c r="C29" s="48" t="s">
        <v>4</v>
      </c>
      <c r="D29" s="66">
        <v>510</v>
      </c>
      <c r="E29" s="67">
        <v>545</v>
      </c>
      <c r="F29" s="67">
        <v>426</v>
      </c>
      <c r="G29" s="67">
        <v>1077</v>
      </c>
      <c r="H29" s="67">
        <v>1786</v>
      </c>
      <c r="I29" s="68">
        <v>1132</v>
      </c>
      <c r="J29" s="108">
        <f>SUM(D29:I29)</f>
        <v>5476</v>
      </c>
      <c r="K29" s="68">
        <v>1177</v>
      </c>
      <c r="L29" s="67">
        <v>3231</v>
      </c>
      <c r="M29" s="67">
        <v>1231</v>
      </c>
      <c r="N29" s="67">
        <v>655</v>
      </c>
      <c r="O29" s="67">
        <v>346</v>
      </c>
      <c r="P29" s="68">
        <v>611</v>
      </c>
      <c r="Q29" s="108">
        <f>SUM(K29:P29)</f>
        <v>7251</v>
      </c>
      <c r="R29" s="109">
        <f>J29+Q29</f>
        <v>12727</v>
      </c>
      <c r="S29" s="45"/>
    </row>
    <row r="30" spans="1:19" s="46" customFormat="1" ht="13.5" customHeight="1">
      <c r="A30" s="143"/>
      <c r="B30" s="47" t="s">
        <v>28</v>
      </c>
      <c r="C30" s="48" t="s">
        <v>5</v>
      </c>
      <c r="D30" s="66">
        <v>96071</v>
      </c>
      <c r="E30" s="67">
        <v>104686</v>
      </c>
      <c r="F30" s="67">
        <v>83668</v>
      </c>
      <c r="G30" s="67">
        <v>204173</v>
      </c>
      <c r="H30" s="67">
        <v>245828</v>
      </c>
      <c r="I30" s="68">
        <v>237170</v>
      </c>
      <c r="J30" s="108">
        <f>SUM(D30:I30)</f>
        <v>971596</v>
      </c>
      <c r="K30" s="107">
        <v>235963</v>
      </c>
      <c r="L30" s="106">
        <v>432527</v>
      </c>
      <c r="M30" s="106">
        <v>263143</v>
      </c>
      <c r="N30" s="106">
        <v>139034</v>
      </c>
      <c r="O30" s="106">
        <v>73715</v>
      </c>
      <c r="P30" s="107">
        <v>125458</v>
      </c>
      <c r="Q30" s="108">
        <f>SUM(K30:P30)</f>
        <v>1269840</v>
      </c>
      <c r="R30" s="109">
        <f>J30+Q30</f>
        <v>2241436</v>
      </c>
      <c r="S30" s="45"/>
    </row>
    <row r="31" spans="1:19" s="46" customFormat="1" ht="13.5" customHeight="1" thickBot="1">
      <c r="A31" s="144"/>
      <c r="B31" s="20" t="s">
        <v>30</v>
      </c>
      <c r="C31" s="55" t="s">
        <v>6</v>
      </c>
      <c r="D31" s="65">
        <f aca="true" t="shared" si="16" ref="D31:I31">IF(D29=0,,D30/D29*1000)</f>
        <v>188374.50980392157</v>
      </c>
      <c r="E31" s="56">
        <f t="shared" si="16"/>
        <v>192084.40366972476</v>
      </c>
      <c r="F31" s="56">
        <f t="shared" si="16"/>
        <v>196403.7558685446</v>
      </c>
      <c r="G31" s="56">
        <f t="shared" si="16"/>
        <v>189575.6731662024</v>
      </c>
      <c r="H31" s="56">
        <f t="shared" si="16"/>
        <v>137641.65733482642</v>
      </c>
      <c r="I31" s="57">
        <f t="shared" si="16"/>
        <v>209514.1342756184</v>
      </c>
      <c r="J31" s="58">
        <f>(J30/J29)*1000</f>
        <v>177428.04967129292</v>
      </c>
      <c r="K31" s="57">
        <f aca="true" t="shared" si="17" ref="K31:Q31">IF(K29=0,,K30/K29*1000)</f>
        <v>200478.33474936278</v>
      </c>
      <c r="L31" s="56">
        <f t="shared" si="17"/>
        <v>133867.84277313526</v>
      </c>
      <c r="M31" s="56">
        <f t="shared" si="17"/>
        <v>213763.60682372056</v>
      </c>
      <c r="N31" s="56">
        <f t="shared" si="17"/>
        <v>212265.64885496182</v>
      </c>
      <c r="O31" s="56">
        <f t="shared" si="17"/>
        <v>213049.13294797688</v>
      </c>
      <c r="P31" s="57">
        <f t="shared" si="17"/>
        <v>205332.24222585926</v>
      </c>
      <c r="Q31" s="58">
        <f t="shared" si="17"/>
        <v>175126.18949110465</v>
      </c>
      <c r="R31" s="59">
        <f>(R30/R29)*1000</f>
        <v>176116.60249862497</v>
      </c>
      <c r="S31" s="60"/>
    </row>
    <row r="32" spans="1:19" s="46" customFormat="1" ht="13.5" customHeight="1">
      <c r="A32" s="142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43"/>
      <c r="B33" s="47" t="s">
        <v>28</v>
      </c>
      <c r="C33" s="48" t="s">
        <v>5</v>
      </c>
      <c r="D33" s="49"/>
      <c r="E33" s="50"/>
      <c r="F33" s="50"/>
      <c r="G33" s="50"/>
      <c r="H33" s="50"/>
      <c r="I33" s="51"/>
      <c r="J33" s="52">
        <f>SUM(D33:I33)</f>
        <v>0</v>
      </c>
      <c r="K33" s="51"/>
      <c r="L33" s="50"/>
      <c r="M33" s="50"/>
      <c r="N33" s="50"/>
      <c r="O33" s="50"/>
      <c r="P33" s="51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44"/>
      <c r="B34" s="20" t="s">
        <v>30</v>
      </c>
      <c r="C34" s="55" t="s">
        <v>6</v>
      </c>
      <c r="D34" s="65">
        <f aca="true" t="shared" si="18" ref="D34:I34">IF(D32=0,,D33/D32*1000)</f>
        <v>0</v>
      </c>
      <c r="E34" s="56">
        <f t="shared" si="18"/>
        <v>0</v>
      </c>
      <c r="F34" s="56">
        <f t="shared" si="18"/>
        <v>0</v>
      </c>
      <c r="G34" s="56">
        <f t="shared" si="18"/>
        <v>0</v>
      </c>
      <c r="H34" s="56">
        <f t="shared" si="18"/>
        <v>0</v>
      </c>
      <c r="I34" s="57">
        <f t="shared" si="18"/>
        <v>0</v>
      </c>
      <c r="J34" s="58">
        <f aca="true" t="shared" si="19" ref="J34:R34">IF(J32=0,,J33/J32*1000)</f>
        <v>0</v>
      </c>
      <c r="K34" s="57">
        <f t="shared" si="19"/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 t="shared" si="19"/>
        <v>0</v>
      </c>
      <c r="R34" s="59">
        <f t="shared" si="19"/>
        <v>0</v>
      </c>
      <c r="S34" s="60"/>
    </row>
    <row r="35" spans="1:19" s="46" customFormat="1" ht="13.5" customHeight="1">
      <c r="A35" s="142" t="s">
        <v>50</v>
      </c>
      <c r="B35" s="47" t="s">
        <v>26</v>
      </c>
      <c r="C35" s="48" t="s">
        <v>4</v>
      </c>
      <c r="D35" s="66"/>
      <c r="E35" s="67">
        <v>6255</v>
      </c>
      <c r="F35" s="67">
        <v>10008</v>
      </c>
      <c r="G35" s="67"/>
      <c r="H35" s="67"/>
      <c r="I35" s="68"/>
      <c r="J35" s="108">
        <f>SUM(D35:I35)</f>
        <v>16263</v>
      </c>
      <c r="K35" s="68"/>
      <c r="L35" s="67">
        <v>16741</v>
      </c>
      <c r="M35" s="67"/>
      <c r="N35" s="67"/>
      <c r="O35" s="67">
        <v>11846</v>
      </c>
      <c r="P35" s="68"/>
      <c r="Q35" s="108">
        <f>SUM(K35:P35)</f>
        <v>28587</v>
      </c>
      <c r="R35" s="109">
        <f>J35+Q35</f>
        <v>44850</v>
      </c>
      <c r="S35" s="45"/>
    </row>
    <row r="36" spans="1:19" s="46" customFormat="1" ht="13.5" customHeight="1">
      <c r="A36" s="143"/>
      <c r="B36" s="47" t="s">
        <v>28</v>
      </c>
      <c r="C36" s="48" t="s">
        <v>5</v>
      </c>
      <c r="D36" s="49"/>
      <c r="E36" s="67">
        <v>251627</v>
      </c>
      <c r="F36" s="106">
        <v>426039</v>
      </c>
      <c r="G36" s="50"/>
      <c r="H36" s="50"/>
      <c r="I36" s="107"/>
      <c r="J36" s="108">
        <f>SUM(D36:I36)</f>
        <v>677666</v>
      </c>
      <c r="K36" s="107"/>
      <c r="L36" s="106">
        <v>787533</v>
      </c>
      <c r="M36" s="106"/>
      <c r="N36" s="106"/>
      <c r="O36" s="106">
        <v>502864</v>
      </c>
      <c r="P36" s="107"/>
      <c r="Q36" s="108">
        <f>SUM(K36:P36)</f>
        <v>1290397</v>
      </c>
      <c r="R36" s="109">
        <f>J36+Q36</f>
        <v>1968063</v>
      </c>
      <c r="S36" s="45"/>
    </row>
    <row r="37" spans="1:19" s="46" customFormat="1" ht="13.5" customHeight="1" thickBot="1">
      <c r="A37" s="144"/>
      <c r="B37" s="20" t="s">
        <v>30</v>
      </c>
      <c r="C37" s="55" t="s">
        <v>6</v>
      </c>
      <c r="D37" s="65">
        <f aca="true" t="shared" si="20" ref="D37:I37">IF(D35=0,,D36/D35*1000)</f>
        <v>0</v>
      </c>
      <c r="E37" s="56">
        <f t="shared" si="20"/>
        <v>40228.137490008</v>
      </c>
      <c r="F37" s="56">
        <f t="shared" si="20"/>
        <v>42569.84412470024</v>
      </c>
      <c r="G37" s="56">
        <f t="shared" si="20"/>
        <v>0</v>
      </c>
      <c r="H37" s="56">
        <f t="shared" si="20"/>
        <v>0</v>
      </c>
      <c r="I37" s="57">
        <f t="shared" si="20"/>
        <v>0</v>
      </c>
      <c r="J37" s="58">
        <f aca="true" t="shared" si="21" ref="J37:P37">IF(J35=0,,J36/J35*1000)</f>
        <v>41669.187726741686</v>
      </c>
      <c r="K37" s="57">
        <f t="shared" si="21"/>
        <v>0</v>
      </c>
      <c r="L37" s="56">
        <f t="shared" si="21"/>
        <v>47042.17191326683</v>
      </c>
      <c r="M37" s="56">
        <f t="shared" si="21"/>
        <v>0</v>
      </c>
      <c r="N37" s="56">
        <f t="shared" si="21"/>
        <v>0</v>
      </c>
      <c r="O37" s="56">
        <f t="shared" si="21"/>
        <v>42450.10974168495</v>
      </c>
      <c r="P37" s="57">
        <f t="shared" si="21"/>
        <v>0</v>
      </c>
      <c r="Q37" s="58">
        <f>IF(Q35=0,,Q36/Q35*1000)</f>
        <v>45139.29408472382</v>
      </c>
      <c r="R37" s="59">
        <f>IF(R35=0,,R36/R35*1000)</f>
        <v>43881.00334448161</v>
      </c>
      <c r="S37" s="60"/>
    </row>
    <row r="38" spans="1:19" s="46" customFormat="1" ht="13.5" customHeight="1">
      <c r="A38" s="142" t="s">
        <v>52</v>
      </c>
      <c r="B38" s="47" t="s">
        <v>26</v>
      </c>
      <c r="C38" s="48" t="s">
        <v>4</v>
      </c>
      <c r="D38" s="66">
        <f>40</f>
        <v>40</v>
      </c>
      <c r="E38" s="67">
        <f>40+22032</f>
        <v>22072</v>
      </c>
      <c r="F38" s="67">
        <f>40+9898</f>
        <v>9938</v>
      </c>
      <c r="G38" s="67">
        <f>53+77+2+4089</f>
        <v>4221</v>
      </c>
      <c r="H38" s="129">
        <f>79+3+21987+22482+20</f>
        <v>44571</v>
      </c>
      <c r="I38" s="68">
        <v>200</v>
      </c>
      <c r="J38" s="131">
        <f>SUM(D38:I38)</f>
        <v>81042</v>
      </c>
      <c r="K38" s="68">
        <f>160+5948+11993+10459</f>
        <v>28560</v>
      </c>
      <c r="L38" s="129">
        <f>221+4+1+10414+41</f>
        <v>10681</v>
      </c>
      <c r="M38" s="67">
        <v>289</v>
      </c>
      <c r="N38" s="67">
        <f>360+1+5</f>
        <v>366</v>
      </c>
      <c r="O38" s="67">
        <f>109+17516</f>
        <v>17625</v>
      </c>
      <c r="P38" s="68">
        <f>67+2</f>
        <v>69</v>
      </c>
      <c r="Q38" s="131">
        <f>SUM(K38:P38)</f>
        <v>57590</v>
      </c>
      <c r="R38" s="134">
        <f>J38+Q38</f>
        <v>138632</v>
      </c>
      <c r="S38" s="45"/>
    </row>
    <row r="39" spans="1:19" s="46" customFormat="1" ht="13.5" customHeight="1">
      <c r="A39" s="143"/>
      <c r="B39" s="47" t="s">
        <v>28</v>
      </c>
      <c r="C39" s="48" t="s">
        <v>5</v>
      </c>
      <c r="D39" s="66">
        <f>13284+1865+3309</f>
        <v>18458</v>
      </c>
      <c r="E39" s="67">
        <f>14014+13237+833880</f>
        <v>861131</v>
      </c>
      <c r="F39" s="67">
        <f>13975+5503+382048</f>
        <v>401526</v>
      </c>
      <c r="G39" s="67">
        <f>18615+3045+23752+158129</f>
        <v>203541</v>
      </c>
      <c r="H39" s="129">
        <f>27903+1983+41259+1023+809694+849265+2263</f>
        <v>1733390</v>
      </c>
      <c r="I39" s="68">
        <f>70223+995+903</f>
        <v>72121</v>
      </c>
      <c r="J39" s="131">
        <f>SUM(D39:I39)</f>
        <v>3290167</v>
      </c>
      <c r="K39" s="107">
        <f>55914+270080+4045+595107+478161</f>
        <v>1403307</v>
      </c>
      <c r="L39" s="133">
        <f>63692+1182+1907+1888+37398+674+2288+569590+4433</f>
        <v>683052</v>
      </c>
      <c r="M39" s="106">
        <f>52144+1457+1098</f>
        <v>54699</v>
      </c>
      <c r="N39" s="133">
        <f>68512+30127+661+6633</f>
        <v>105933</v>
      </c>
      <c r="O39" s="106">
        <f>19534+26354+748591</f>
        <v>794479</v>
      </c>
      <c r="P39" s="107">
        <f>20931+1869+42350</f>
        <v>65150</v>
      </c>
      <c r="Q39" s="131">
        <f>SUM(K39:P39)</f>
        <v>3106620</v>
      </c>
      <c r="R39" s="134">
        <f>J39+Q39</f>
        <v>6396787</v>
      </c>
      <c r="S39" s="45"/>
    </row>
    <row r="40" spans="1:19" s="46" customFormat="1" ht="13.5" customHeight="1" thickBot="1">
      <c r="A40" s="144"/>
      <c r="B40" s="20" t="s">
        <v>30</v>
      </c>
      <c r="C40" s="55" t="s">
        <v>6</v>
      </c>
      <c r="D40" s="65">
        <f aca="true" t="shared" si="22" ref="D40:I40">IF(D38=0,,D39/D38*1000)</f>
        <v>461450</v>
      </c>
      <c r="E40" s="56">
        <f t="shared" si="22"/>
        <v>39014.63392533527</v>
      </c>
      <c r="F40" s="56">
        <f t="shared" si="22"/>
        <v>40403.09921513383</v>
      </c>
      <c r="G40" s="56">
        <f t="shared" si="22"/>
        <v>48221.03766879886</v>
      </c>
      <c r="H40" s="130">
        <f t="shared" si="22"/>
        <v>38890.53420385452</v>
      </c>
      <c r="I40" s="57">
        <f t="shared" si="22"/>
        <v>360605</v>
      </c>
      <c r="J40" s="132">
        <f>(J39/J38)*1000</f>
        <v>40598.29471138422</v>
      </c>
      <c r="K40" s="57">
        <f aca="true" t="shared" si="23" ref="K40:Q40">IF(K38=0,,K39/K38*1000)</f>
        <v>49135.39915966386</v>
      </c>
      <c r="L40" s="130">
        <f t="shared" si="23"/>
        <v>63950.191929594606</v>
      </c>
      <c r="M40" s="56">
        <f t="shared" si="23"/>
        <v>189269.89619377162</v>
      </c>
      <c r="N40" s="130">
        <f t="shared" si="23"/>
        <v>289434.4262295082</v>
      </c>
      <c r="O40" s="56">
        <f t="shared" si="23"/>
        <v>45076.82269503546</v>
      </c>
      <c r="P40" s="57">
        <f t="shared" si="23"/>
        <v>944202.8985507246</v>
      </c>
      <c r="Q40" s="132">
        <f t="shared" si="23"/>
        <v>53943.74023267928</v>
      </c>
      <c r="R40" s="135">
        <f>(R39/R38)*1000</f>
        <v>46142.211033527616</v>
      </c>
      <c r="S40" s="60"/>
    </row>
    <row r="41" spans="1:19" s="46" customFormat="1" ht="18" customHeight="1">
      <c r="A41" s="142" t="s">
        <v>7</v>
      </c>
      <c r="B41" s="47" t="s">
        <v>26</v>
      </c>
      <c r="C41" s="48" t="s">
        <v>4</v>
      </c>
      <c r="D41" s="105">
        <f aca="true" t="shared" si="24" ref="D41:I42">D5+D8+D11+D14+D17+D20+D23+D26+D29+D32+D35+D38</f>
        <v>238061</v>
      </c>
      <c r="E41" s="106">
        <f t="shared" si="24"/>
        <v>315164</v>
      </c>
      <c r="F41" s="106">
        <f t="shared" si="24"/>
        <v>342346</v>
      </c>
      <c r="G41" s="106">
        <f t="shared" si="24"/>
        <v>273481</v>
      </c>
      <c r="H41" s="133">
        <f t="shared" si="24"/>
        <v>444318</v>
      </c>
      <c r="I41" s="107">
        <f t="shared" si="24"/>
        <v>305931</v>
      </c>
      <c r="J41" s="131">
        <f>SUM(D41:I41)</f>
        <v>1919301</v>
      </c>
      <c r="K41" s="107">
        <f aca="true" t="shared" si="25" ref="K41:P42">K5+K8+K11+K14+K17+K20+K23+K26+K29+K32+K35+K38</f>
        <v>275818</v>
      </c>
      <c r="L41" s="133">
        <f t="shared" si="25"/>
        <v>414492</v>
      </c>
      <c r="M41" s="106">
        <f t="shared" si="25"/>
        <v>312921</v>
      </c>
      <c r="N41" s="106">
        <f t="shared" si="25"/>
        <v>199032</v>
      </c>
      <c r="O41" s="106">
        <f t="shared" si="25"/>
        <v>341814</v>
      </c>
      <c r="P41" s="107">
        <f t="shared" si="25"/>
        <v>358563</v>
      </c>
      <c r="Q41" s="131">
        <f>SUM(K41:P41)</f>
        <v>1902640</v>
      </c>
      <c r="R41" s="134">
        <f>J41+Q41</f>
        <v>3821941</v>
      </c>
      <c r="S41" s="45"/>
    </row>
    <row r="42" spans="1:19" s="46" customFormat="1" ht="18" customHeight="1">
      <c r="A42" s="143"/>
      <c r="B42" s="47" t="s">
        <v>28</v>
      </c>
      <c r="C42" s="48" t="s">
        <v>5</v>
      </c>
      <c r="D42" s="66">
        <f t="shared" si="24"/>
        <v>7720872</v>
      </c>
      <c r="E42" s="106">
        <f t="shared" si="24"/>
        <v>11862377</v>
      </c>
      <c r="F42" s="106">
        <f t="shared" si="24"/>
        <v>13809397</v>
      </c>
      <c r="G42" s="129">
        <f t="shared" si="24"/>
        <v>11291958</v>
      </c>
      <c r="H42" s="129">
        <f t="shared" si="24"/>
        <v>17952307</v>
      </c>
      <c r="I42" s="107">
        <f>I6+I9+I12+I15+I18+I21+I24+I27+I30+I33+I36+I39</f>
        <v>13295459</v>
      </c>
      <c r="J42" s="131">
        <f>SUM(D42:I42)</f>
        <v>75932370</v>
      </c>
      <c r="K42" s="107">
        <f t="shared" si="25"/>
        <v>13063895</v>
      </c>
      <c r="L42" s="133">
        <f t="shared" si="25"/>
        <v>21034000</v>
      </c>
      <c r="M42" s="106">
        <f t="shared" si="25"/>
        <v>16150405</v>
      </c>
      <c r="N42" s="133">
        <f t="shared" si="25"/>
        <v>9502849</v>
      </c>
      <c r="O42" s="106">
        <f t="shared" si="25"/>
        <v>14565465</v>
      </c>
      <c r="P42" s="107">
        <f t="shared" si="25"/>
        <v>15432308</v>
      </c>
      <c r="Q42" s="131">
        <f>SUM(K42:P42)</f>
        <v>89748922</v>
      </c>
      <c r="R42" s="134">
        <f>J42+Q42</f>
        <v>165681292</v>
      </c>
      <c r="S42" s="45"/>
    </row>
    <row r="43" spans="1:19" s="46" customFormat="1" ht="18" customHeight="1" thickBot="1">
      <c r="A43" s="145"/>
      <c r="B43" s="20" t="s">
        <v>30</v>
      </c>
      <c r="C43" s="55" t="s">
        <v>6</v>
      </c>
      <c r="D43" s="65">
        <f aca="true" t="shared" si="26" ref="D43:I43">IF(D41=0,,D42/D41*1000)</f>
        <v>32432.32616850303</v>
      </c>
      <c r="E43" s="56">
        <f t="shared" si="26"/>
        <v>37638.743638232794</v>
      </c>
      <c r="F43" s="56">
        <f t="shared" si="26"/>
        <v>40337.544472551155</v>
      </c>
      <c r="G43" s="130">
        <f t="shared" si="26"/>
        <v>41289.7349358822</v>
      </c>
      <c r="H43" s="130">
        <f t="shared" si="26"/>
        <v>40404.18574084327</v>
      </c>
      <c r="I43" s="57">
        <f t="shared" si="26"/>
        <v>43459.01199943778</v>
      </c>
      <c r="J43" s="132">
        <f>(J42/J41)*1000</f>
        <v>39562.51260224426</v>
      </c>
      <c r="K43" s="57">
        <f aca="true" t="shared" si="27" ref="K43:Q43">IF(K41=0,,K42/K41*1000)</f>
        <v>47364.18580368214</v>
      </c>
      <c r="L43" s="130">
        <f t="shared" si="27"/>
        <v>50746.45590264709</v>
      </c>
      <c r="M43" s="56">
        <f t="shared" si="27"/>
        <v>51611.76463068953</v>
      </c>
      <c r="N43" s="130">
        <f t="shared" si="27"/>
        <v>47745.33240885888</v>
      </c>
      <c r="O43" s="56">
        <f t="shared" si="27"/>
        <v>42612.25403289508</v>
      </c>
      <c r="P43" s="57">
        <f t="shared" si="27"/>
        <v>43039.32084459356</v>
      </c>
      <c r="Q43" s="132">
        <f t="shared" si="27"/>
        <v>47170.73224572174</v>
      </c>
      <c r="R43" s="135">
        <f>(R42/R41)*1000</f>
        <v>43350.039155497165</v>
      </c>
      <c r="S43" s="60"/>
    </row>
    <row r="44" spans="1:19" s="46" customFormat="1" ht="24" customHeight="1" thickBot="1">
      <c r="A44" s="146" t="s">
        <v>23</v>
      </c>
      <c r="B44" s="147"/>
      <c r="C44" s="148"/>
      <c r="D44" s="85">
        <v>106.25</v>
      </c>
      <c r="E44" s="86">
        <v>110.39</v>
      </c>
      <c r="F44" s="127">
        <v>111.1</v>
      </c>
      <c r="G44" s="87">
        <v>108.75</v>
      </c>
      <c r="H44" s="87">
        <v>110.45</v>
      </c>
      <c r="I44" s="61">
        <v>109.73</v>
      </c>
      <c r="J44" s="62">
        <v>109.55</v>
      </c>
      <c r="K44" s="63">
        <v>110.29</v>
      </c>
      <c r="L44" s="112">
        <v>106.67</v>
      </c>
      <c r="M44" s="64">
        <v>103.64</v>
      </c>
      <c r="N44" s="64">
        <v>103.66</v>
      </c>
      <c r="O44" s="87">
        <v>103.83</v>
      </c>
      <c r="P44" s="88">
        <v>104.83</v>
      </c>
      <c r="Q44" s="89">
        <v>105.35</v>
      </c>
      <c r="R44" s="84">
        <v>107.34</v>
      </c>
      <c r="S44" s="45"/>
    </row>
    <row r="45" ht="15.75" customHeight="1">
      <c r="A45" s="113"/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5" r:id="rId1"/>
  <headerFooter alignWithMargins="0">
    <oddFooter>&amp;C&amp;20-4-</oddFooter>
  </headerFooter>
  <colBreaks count="1" manualBreakCount="1">
    <brk id="18" min="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3.7109375" style="0" customWidth="1"/>
  </cols>
  <sheetData>
    <row r="2" spans="1:16" ht="27" customHeight="1">
      <c r="A2" s="17" t="s">
        <v>55</v>
      </c>
      <c r="B2" s="34" t="s">
        <v>75</v>
      </c>
      <c r="C2" s="1"/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8" customHeight="1" thickBot="1">
      <c r="A3" s="21" t="s">
        <v>8</v>
      </c>
      <c r="B3" s="42" t="s">
        <v>10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6" t="s">
        <v>32</v>
      </c>
      <c r="B5" s="47" t="s">
        <v>26</v>
      </c>
      <c r="C5" s="48" t="s">
        <v>4</v>
      </c>
      <c r="D5" s="66">
        <v>9880</v>
      </c>
      <c r="E5" s="67"/>
      <c r="F5" s="67"/>
      <c r="G5" s="67"/>
      <c r="H5" s="67">
        <v>7151</v>
      </c>
      <c r="I5" s="68"/>
      <c r="J5" s="108">
        <f>SUM(D5:I5)</f>
        <v>17031</v>
      </c>
      <c r="K5" s="68">
        <v>3785</v>
      </c>
      <c r="L5" s="67">
        <v>28886</v>
      </c>
      <c r="M5" s="67">
        <v>10464</v>
      </c>
      <c r="N5" s="67">
        <v>1996</v>
      </c>
      <c r="O5" s="67">
        <v>8995</v>
      </c>
      <c r="P5" s="68"/>
      <c r="Q5" s="108">
        <f>SUM(K5:P5)</f>
        <v>54126</v>
      </c>
      <c r="R5" s="109">
        <f>Q5+J5</f>
        <v>71157</v>
      </c>
      <c r="S5" s="45"/>
    </row>
    <row r="6" spans="1:19" s="46" customFormat="1" ht="13.5" customHeight="1">
      <c r="A6" s="143"/>
      <c r="B6" s="47" t="s">
        <v>28</v>
      </c>
      <c r="C6" s="48" t="s">
        <v>5</v>
      </c>
      <c r="D6" s="66">
        <v>340045</v>
      </c>
      <c r="E6" s="67"/>
      <c r="F6" s="67"/>
      <c r="G6" s="67"/>
      <c r="H6" s="67">
        <v>288603</v>
      </c>
      <c r="I6" s="68"/>
      <c r="J6" s="108">
        <f>SUM(D6:I6)</f>
        <v>628648</v>
      </c>
      <c r="K6" s="68">
        <v>178308</v>
      </c>
      <c r="L6" s="67">
        <v>1098321</v>
      </c>
      <c r="M6" s="67">
        <v>543808</v>
      </c>
      <c r="N6" s="67">
        <v>97714</v>
      </c>
      <c r="O6" s="67">
        <v>403073</v>
      </c>
      <c r="P6" s="68"/>
      <c r="Q6" s="108">
        <f>SUM(K6:P6)</f>
        <v>2321224</v>
      </c>
      <c r="R6" s="109">
        <f>Q6+J6</f>
        <v>2949872</v>
      </c>
      <c r="S6" s="45"/>
    </row>
    <row r="7" spans="1:19" s="46" customFormat="1" ht="13.5" customHeight="1" thickBot="1">
      <c r="A7" s="144"/>
      <c r="B7" s="20" t="s">
        <v>30</v>
      </c>
      <c r="C7" s="55" t="s">
        <v>6</v>
      </c>
      <c r="D7" s="65">
        <f>IF(D5=0,,D6/D5*1000)</f>
        <v>34417.51012145749</v>
      </c>
      <c r="E7" s="56">
        <f>IF(E5=0,,E6/E5*1000)</f>
        <v>0</v>
      </c>
      <c r="F7" s="56">
        <f aca="true" t="shared" si="0" ref="F7:P7">IF(F5=0,,F6/F5*1000)</f>
        <v>0</v>
      </c>
      <c r="G7" s="56">
        <f t="shared" si="0"/>
        <v>0</v>
      </c>
      <c r="H7" s="56">
        <f t="shared" si="0"/>
        <v>40358.41141099147</v>
      </c>
      <c r="I7" s="57">
        <f t="shared" si="0"/>
        <v>0</v>
      </c>
      <c r="J7" s="58">
        <f t="shared" si="0"/>
        <v>36911.98402912336</v>
      </c>
      <c r="K7" s="57">
        <f t="shared" si="0"/>
        <v>47109.11492734478</v>
      </c>
      <c r="L7" s="56">
        <f t="shared" si="0"/>
        <v>38022.60610676452</v>
      </c>
      <c r="M7" s="56">
        <f t="shared" si="0"/>
        <v>51969.41896024464</v>
      </c>
      <c r="N7" s="56">
        <f t="shared" si="0"/>
        <v>48954.90981963927</v>
      </c>
      <c r="O7" s="56">
        <f t="shared" si="0"/>
        <v>44810.783768760426</v>
      </c>
      <c r="P7" s="57">
        <f t="shared" si="0"/>
        <v>0</v>
      </c>
      <c r="Q7" s="58">
        <f>IF(Q5=0,,Q6/Q5*1000)</f>
        <v>42885.56331522743</v>
      </c>
      <c r="R7" s="59">
        <f>IF(R5=0,,R6/R5*1000)</f>
        <v>41455.82303919502</v>
      </c>
      <c r="S7" s="60"/>
    </row>
    <row r="8" spans="1:19" s="46" customFormat="1" ht="13.5" customHeight="1">
      <c r="A8" s="142" t="s">
        <v>33</v>
      </c>
      <c r="B8" s="47" t="s">
        <v>26</v>
      </c>
      <c r="C8" s="48" t="s">
        <v>4</v>
      </c>
      <c r="D8" s="49"/>
      <c r="E8" s="67">
        <v>4001</v>
      </c>
      <c r="F8" s="106"/>
      <c r="G8" s="106"/>
      <c r="H8" s="106"/>
      <c r="I8" s="107"/>
      <c r="J8" s="108">
        <f>SUM(D8:I8)</f>
        <v>4001</v>
      </c>
      <c r="K8" s="107"/>
      <c r="L8" s="106"/>
      <c r="M8" s="106"/>
      <c r="N8" s="106">
        <v>15757</v>
      </c>
      <c r="O8" s="106"/>
      <c r="P8" s="107">
        <v>3000</v>
      </c>
      <c r="Q8" s="108">
        <f>SUM(K8:P8)</f>
        <v>18757</v>
      </c>
      <c r="R8" s="109">
        <f>Q8+J8</f>
        <v>22758</v>
      </c>
      <c r="S8" s="45"/>
    </row>
    <row r="9" spans="1:19" s="46" customFormat="1" ht="13.5" customHeight="1">
      <c r="A9" s="143"/>
      <c r="B9" s="47" t="s">
        <v>28</v>
      </c>
      <c r="C9" s="48" t="s">
        <v>5</v>
      </c>
      <c r="D9" s="49"/>
      <c r="E9" s="67">
        <v>144824</v>
      </c>
      <c r="F9" s="106"/>
      <c r="G9" s="106"/>
      <c r="H9" s="106"/>
      <c r="I9" s="107"/>
      <c r="J9" s="108">
        <f>SUM(D9:I9)</f>
        <v>144824</v>
      </c>
      <c r="K9" s="107"/>
      <c r="L9" s="106"/>
      <c r="M9" s="106"/>
      <c r="N9" s="106">
        <v>643845</v>
      </c>
      <c r="O9" s="106"/>
      <c r="P9" s="107">
        <v>124325</v>
      </c>
      <c r="Q9" s="108">
        <f>SUM(K9:P9)</f>
        <v>768170</v>
      </c>
      <c r="R9" s="109">
        <f>Q9+J9</f>
        <v>912994</v>
      </c>
      <c r="S9" s="45"/>
    </row>
    <row r="10" spans="1:19" s="46" customFormat="1" ht="13.5" customHeight="1" thickBot="1">
      <c r="A10" s="144"/>
      <c r="B10" s="20" t="s">
        <v>30</v>
      </c>
      <c r="C10" s="55" t="s">
        <v>6</v>
      </c>
      <c r="D10" s="65">
        <f>IF(D8=0,,D9/D8*1000)</f>
        <v>0</v>
      </c>
      <c r="E10" s="56">
        <f>IF(E8=0,,E9/E8*1000)</f>
        <v>36196.95076230942</v>
      </c>
      <c r="F10" s="56">
        <f aca="true" t="shared" si="1" ref="F10:P10">IF(F8=0,,F9/F8*1000)</f>
        <v>0</v>
      </c>
      <c r="G10" s="56">
        <f t="shared" si="1"/>
        <v>0</v>
      </c>
      <c r="H10" s="56">
        <f t="shared" si="1"/>
        <v>0</v>
      </c>
      <c r="I10" s="57">
        <f t="shared" si="1"/>
        <v>0</v>
      </c>
      <c r="J10" s="58">
        <f t="shared" si="1"/>
        <v>36196.95076230942</v>
      </c>
      <c r="K10" s="57">
        <f t="shared" si="1"/>
        <v>0</v>
      </c>
      <c r="L10" s="56">
        <f t="shared" si="1"/>
        <v>0</v>
      </c>
      <c r="M10" s="56">
        <f t="shared" si="1"/>
        <v>0</v>
      </c>
      <c r="N10" s="56">
        <f t="shared" si="1"/>
        <v>40860.88722472551</v>
      </c>
      <c r="O10" s="56">
        <f t="shared" si="1"/>
        <v>0</v>
      </c>
      <c r="P10" s="57">
        <f t="shared" si="1"/>
        <v>41441.66666666667</v>
      </c>
      <c r="Q10" s="58">
        <f>IF(Q8=0,,Q9/Q8*1000)</f>
        <v>40953.77725649091</v>
      </c>
      <c r="R10" s="59">
        <f>IF(R8=0,,R9/R8*1000)</f>
        <v>40117.497143861496</v>
      </c>
      <c r="S10" s="45"/>
    </row>
    <row r="11" spans="1:19" s="46" customFormat="1" ht="13.5" customHeight="1">
      <c r="A11" s="142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>
        <v>11569</v>
      </c>
      <c r="O11" s="67"/>
      <c r="P11" s="68"/>
      <c r="Q11" s="52">
        <f>SUM(K11:P11)</f>
        <v>11569</v>
      </c>
      <c r="R11" s="53">
        <f>Q11+J11</f>
        <v>11569</v>
      </c>
      <c r="S11" s="45"/>
    </row>
    <row r="12" spans="1:19" s="46" customFormat="1" ht="13.5" customHeight="1">
      <c r="A12" s="143"/>
      <c r="B12" s="47" t="s">
        <v>28</v>
      </c>
      <c r="C12" s="48" t="s">
        <v>5</v>
      </c>
      <c r="D12" s="66"/>
      <c r="E12" s="67"/>
      <c r="F12" s="67"/>
      <c r="G12" s="67"/>
      <c r="H12" s="67"/>
      <c r="I12" s="68"/>
      <c r="J12" s="52">
        <f>SUM(D12:I12)</f>
        <v>0</v>
      </c>
      <c r="K12" s="68"/>
      <c r="L12" s="67"/>
      <c r="M12" s="67"/>
      <c r="N12" s="67">
        <v>591770</v>
      </c>
      <c r="O12" s="67"/>
      <c r="P12" s="68"/>
      <c r="Q12" s="52">
        <f>SUM(K12:P12)</f>
        <v>591770</v>
      </c>
      <c r="R12" s="53">
        <f>Q12+J12</f>
        <v>591770</v>
      </c>
      <c r="S12" s="45"/>
    </row>
    <row r="13" spans="1:19" s="46" customFormat="1" ht="13.5" customHeight="1" thickBot="1">
      <c r="A13" s="144"/>
      <c r="B13" s="20" t="s">
        <v>30</v>
      </c>
      <c r="C13" s="55" t="s">
        <v>6</v>
      </c>
      <c r="D13" s="65">
        <f>IF(D11=0,,D12/D11*1000)</f>
        <v>0</v>
      </c>
      <c r="E13" s="56">
        <f>IF(E11=0,,E12/E11*1000)</f>
        <v>0</v>
      </c>
      <c r="F13" s="56">
        <f aca="true" t="shared" si="2" ref="F13:P13">IF(F11=0,,F12/F11*1000)</f>
        <v>0</v>
      </c>
      <c r="G13" s="56">
        <f t="shared" si="2"/>
        <v>0</v>
      </c>
      <c r="H13" s="56">
        <f t="shared" si="2"/>
        <v>0</v>
      </c>
      <c r="I13" s="57">
        <f t="shared" si="2"/>
        <v>0</v>
      </c>
      <c r="J13" s="58">
        <f t="shared" si="2"/>
        <v>0</v>
      </c>
      <c r="K13" s="57">
        <f t="shared" si="2"/>
        <v>0</v>
      </c>
      <c r="L13" s="56">
        <f t="shared" si="2"/>
        <v>0</v>
      </c>
      <c r="M13" s="56">
        <f t="shared" si="2"/>
        <v>0</v>
      </c>
      <c r="N13" s="56">
        <f t="shared" si="2"/>
        <v>51151.35275304694</v>
      </c>
      <c r="O13" s="56">
        <f t="shared" si="2"/>
        <v>0</v>
      </c>
      <c r="P13" s="57">
        <f t="shared" si="2"/>
        <v>0</v>
      </c>
      <c r="Q13" s="58">
        <f>IF(Q11=0,,Q12/Q11*1000)</f>
        <v>51151.35275304694</v>
      </c>
      <c r="R13" s="59">
        <f>IF(R11=0,,R12/R11*1000)</f>
        <v>51151.35275304694</v>
      </c>
      <c r="S13" s="60"/>
    </row>
    <row r="14" spans="1:19" s="46" customFormat="1" ht="13.5" customHeight="1">
      <c r="A14" s="142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43"/>
      <c r="B15" s="47" t="s">
        <v>28</v>
      </c>
      <c r="C15" s="48" t="s">
        <v>5</v>
      </c>
      <c r="D15" s="66"/>
      <c r="E15" s="67"/>
      <c r="F15" s="67"/>
      <c r="G15" s="67"/>
      <c r="H15" s="67"/>
      <c r="I15" s="68"/>
      <c r="J15" s="52">
        <f>SUM(D15:I15)</f>
        <v>0</v>
      </c>
      <c r="K15" s="68"/>
      <c r="L15" s="67"/>
      <c r="M15" s="67"/>
      <c r="N15" s="67"/>
      <c r="O15" s="67"/>
      <c r="P15" s="68"/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44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 aca="true" t="shared" si="3" ref="F16:P16">IF(F14=0,,F15/F14*1000)</f>
        <v>0</v>
      </c>
      <c r="G16" s="56">
        <f t="shared" si="3"/>
        <v>0</v>
      </c>
      <c r="H16" s="56">
        <f t="shared" si="3"/>
        <v>0</v>
      </c>
      <c r="I16" s="57">
        <f t="shared" si="3"/>
        <v>0</v>
      </c>
      <c r="J16" s="58">
        <f t="shared" si="3"/>
        <v>0</v>
      </c>
      <c r="K16" s="57">
        <f t="shared" si="3"/>
        <v>0</v>
      </c>
      <c r="L16" s="56">
        <f t="shared" si="3"/>
        <v>0</v>
      </c>
      <c r="M16" s="56">
        <f t="shared" si="3"/>
        <v>0</v>
      </c>
      <c r="N16" s="56">
        <f t="shared" si="3"/>
        <v>0</v>
      </c>
      <c r="O16" s="56">
        <f t="shared" si="3"/>
        <v>0</v>
      </c>
      <c r="P16" s="57">
        <f t="shared" si="3"/>
        <v>0</v>
      </c>
      <c r="Q16" s="58">
        <f>IF(Q14=0,,Q15/Q14*1000)</f>
        <v>0</v>
      </c>
      <c r="R16" s="59">
        <f>IF(R14=0,,R15/R14*1000)</f>
        <v>0</v>
      </c>
      <c r="S16" s="80"/>
    </row>
    <row r="17" spans="1:19" s="46" customFormat="1" ht="13.5" customHeight="1">
      <c r="A17" s="142" t="s">
        <v>39</v>
      </c>
      <c r="B17" s="47" t="s">
        <v>26</v>
      </c>
      <c r="C17" s="48" t="s">
        <v>4</v>
      </c>
      <c r="D17" s="66">
        <v>9932</v>
      </c>
      <c r="E17" s="67">
        <v>10159</v>
      </c>
      <c r="F17" s="67"/>
      <c r="G17" s="67"/>
      <c r="H17" s="67"/>
      <c r="I17" s="68"/>
      <c r="J17" s="108">
        <f>SUM(D17:I17)</f>
        <v>20091</v>
      </c>
      <c r="K17" s="68"/>
      <c r="L17" s="67"/>
      <c r="M17" s="67">
        <v>2697</v>
      </c>
      <c r="N17" s="67"/>
      <c r="O17" s="67"/>
      <c r="P17" s="68"/>
      <c r="Q17" s="108">
        <f>SUM(K17:P17)</f>
        <v>2697</v>
      </c>
      <c r="R17" s="109">
        <f>Q17+J17</f>
        <v>22788</v>
      </c>
      <c r="S17" s="45"/>
    </row>
    <row r="18" spans="1:19" s="46" customFormat="1" ht="13.5" customHeight="1">
      <c r="A18" s="143"/>
      <c r="B18" s="47" t="s">
        <v>28</v>
      </c>
      <c r="C18" s="48" t="s">
        <v>5</v>
      </c>
      <c r="D18" s="66">
        <v>305934</v>
      </c>
      <c r="E18" s="67">
        <v>363082</v>
      </c>
      <c r="F18" s="67"/>
      <c r="G18" s="67"/>
      <c r="H18" s="67"/>
      <c r="I18" s="68"/>
      <c r="J18" s="108">
        <f>SUM(D18:I18)</f>
        <v>669016</v>
      </c>
      <c r="K18" s="68"/>
      <c r="L18" s="67"/>
      <c r="M18" s="67">
        <v>120630</v>
      </c>
      <c r="N18" s="67"/>
      <c r="O18" s="67"/>
      <c r="P18" s="68"/>
      <c r="Q18" s="108">
        <f>SUM(K18:P18)</f>
        <v>120630</v>
      </c>
      <c r="R18" s="109">
        <f>Q18+J18</f>
        <v>789646</v>
      </c>
      <c r="S18" s="45"/>
    </row>
    <row r="19" spans="1:19" s="46" customFormat="1" ht="13.5" customHeight="1" thickBot="1">
      <c r="A19" s="144"/>
      <c r="B19" s="20" t="s">
        <v>30</v>
      </c>
      <c r="C19" s="55" t="s">
        <v>6</v>
      </c>
      <c r="D19" s="65">
        <f>IF(D17=0,,D18/D17*1000)</f>
        <v>30802.8594442207</v>
      </c>
      <c r="E19" s="56">
        <f>IF(E17=0,,E18/E17*1000)</f>
        <v>35739.935032975685</v>
      </c>
      <c r="F19" s="56">
        <f aca="true" t="shared" si="4" ref="F19:P19">IF(F17=0,,F18/F17*1000)</f>
        <v>0</v>
      </c>
      <c r="G19" s="56">
        <f t="shared" si="4"/>
        <v>0</v>
      </c>
      <c r="H19" s="56">
        <f t="shared" si="4"/>
        <v>0</v>
      </c>
      <c r="I19" s="57">
        <f t="shared" si="4"/>
        <v>0</v>
      </c>
      <c r="J19" s="58">
        <f t="shared" si="4"/>
        <v>33299.28823851475</v>
      </c>
      <c r="K19" s="57">
        <f t="shared" si="4"/>
        <v>0</v>
      </c>
      <c r="L19" s="56">
        <f t="shared" si="4"/>
        <v>0</v>
      </c>
      <c r="M19" s="56">
        <f t="shared" si="4"/>
        <v>44727.474972191325</v>
      </c>
      <c r="N19" s="56">
        <f t="shared" si="4"/>
        <v>0</v>
      </c>
      <c r="O19" s="56">
        <f t="shared" si="4"/>
        <v>0</v>
      </c>
      <c r="P19" s="57">
        <f t="shared" si="4"/>
        <v>0</v>
      </c>
      <c r="Q19" s="58">
        <f>IF(Q17=0,,Q18/Q17*1000)</f>
        <v>44727.474972191325</v>
      </c>
      <c r="R19" s="59">
        <f>IF(R17=0,,R18/R17*1000)</f>
        <v>34651.834298753725</v>
      </c>
      <c r="S19" s="60"/>
    </row>
    <row r="20" spans="1:19" s="46" customFormat="1" ht="13.5" customHeight="1">
      <c r="A20" s="151" t="s">
        <v>41</v>
      </c>
      <c r="B20" s="47" t="s">
        <v>26</v>
      </c>
      <c r="C20" s="48" t="s">
        <v>4</v>
      </c>
      <c r="D20" s="66">
        <v>13462</v>
      </c>
      <c r="E20" s="67"/>
      <c r="F20" s="67"/>
      <c r="G20" s="67"/>
      <c r="H20" s="67"/>
      <c r="I20" s="68"/>
      <c r="J20" s="108">
        <f>SUM(D20:I20)</f>
        <v>13462</v>
      </c>
      <c r="K20" s="68">
        <v>8977</v>
      </c>
      <c r="L20" s="67"/>
      <c r="M20" s="67">
        <v>1500</v>
      </c>
      <c r="N20" s="67"/>
      <c r="O20" s="67"/>
      <c r="P20" s="68">
        <v>1500</v>
      </c>
      <c r="Q20" s="108">
        <f>SUM(K20:P20)</f>
        <v>11977</v>
      </c>
      <c r="R20" s="109">
        <f>Q20+J20</f>
        <v>25439</v>
      </c>
      <c r="S20" s="45"/>
    </row>
    <row r="21" spans="1:19" s="46" customFormat="1" ht="13.5" customHeight="1">
      <c r="A21" s="152"/>
      <c r="B21" s="47" t="s">
        <v>28</v>
      </c>
      <c r="C21" s="48" t="s">
        <v>5</v>
      </c>
      <c r="D21" s="66">
        <v>435508</v>
      </c>
      <c r="E21" s="67"/>
      <c r="F21" s="67"/>
      <c r="G21" s="67"/>
      <c r="H21" s="67"/>
      <c r="I21" s="68"/>
      <c r="J21" s="108">
        <f>SUM(D21:I21)</f>
        <v>435508</v>
      </c>
      <c r="K21" s="68">
        <v>365203</v>
      </c>
      <c r="L21" s="67"/>
      <c r="M21" s="67">
        <v>71807</v>
      </c>
      <c r="N21" s="67"/>
      <c r="O21" s="67"/>
      <c r="P21" s="68">
        <v>64549</v>
      </c>
      <c r="Q21" s="108">
        <f>SUM(K21:P21)</f>
        <v>501559</v>
      </c>
      <c r="R21" s="109">
        <f>Q21+J21</f>
        <v>937067</v>
      </c>
      <c r="S21" s="45"/>
    </row>
    <row r="22" spans="1:19" s="46" customFormat="1" ht="13.5" customHeight="1" thickBot="1">
      <c r="A22" s="153"/>
      <c r="B22" s="20" t="s">
        <v>30</v>
      </c>
      <c r="C22" s="55" t="s">
        <v>6</v>
      </c>
      <c r="D22" s="65">
        <f>IF(D20=0,,D21/D20*1000)</f>
        <v>32350.913682959443</v>
      </c>
      <c r="E22" s="56">
        <f>IF(E20=0,,E21/E20*1000)</f>
        <v>0</v>
      </c>
      <c r="F22" s="56">
        <f aca="true" t="shared" si="5" ref="F22:P22">IF(F20=0,,F21/F20*1000)</f>
        <v>0</v>
      </c>
      <c r="G22" s="56">
        <f t="shared" si="5"/>
        <v>0</v>
      </c>
      <c r="H22" s="56">
        <f t="shared" si="5"/>
        <v>0</v>
      </c>
      <c r="I22" s="57">
        <f t="shared" si="5"/>
        <v>0</v>
      </c>
      <c r="J22" s="58">
        <f t="shared" si="5"/>
        <v>32350.913682959443</v>
      </c>
      <c r="K22" s="57">
        <f t="shared" si="5"/>
        <v>40682.07641751142</v>
      </c>
      <c r="L22" s="56">
        <f t="shared" si="5"/>
        <v>0</v>
      </c>
      <c r="M22" s="56">
        <f t="shared" si="5"/>
        <v>47871.333333333336</v>
      </c>
      <c r="N22" s="56">
        <f t="shared" si="5"/>
        <v>0</v>
      </c>
      <c r="O22" s="56">
        <f t="shared" si="5"/>
        <v>0</v>
      </c>
      <c r="P22" s="57">
        <f t="shared" si="5"/>
        <v>43032.666666666664</v>
      </c>
      <c r="Q22" s="58">
        <f>IF(Q20=0,,Q21/Q20*1000)</f>
        <v>41876.84729064039</v>
      </c>
      <c r="R22" s="59">
        <f>IF(R20=0,,R21/R20*1000)</f>
        <v>36835.84260387594</v>
      </c>
      <c r="S22" s="60"/>
    </row>
    <row r="23" spans="1:19" s="46" customFormat="1" ht="13.5" customHeight="1">
      <c r="A23" s="142" t="s">
        <v>42</v>
      </c>
      <c r="B23" s="47" t="s">
        <v>26</v>
      </c>
      <c r="C23" s="48" t="s">
        <v>4</v>
      </c>
      <c r="D23" s="66">
        <v>5038</v>
      </c>
      <c r="E23" s="67">
        <v>4051</v>
      </c>
      <c r="F23" s="67"/>
      <c r="G23" s="67"/>
      <c r="H23" s="67"/>
      <c r="I23" s="68"/>
      <c r="J23" s="108">
        <f>SUM(D23:I23)</f>
        <v>9089</v>
      </c>
      <c r="K23" s="68"/>
      <c r="L23" s="67"/>
      <c r="M23" s="67"/>
      <c r="N23" s="67"/>
      <c r="O23" s="67"/>
      <c r="P23" s="68"/>
      <c r="Q23" s="108">
        <f>SUM(K23:P23)</f>
        <v>0</v>
      </c>
      <c r="R23" s="109">
        <f>Q23+J23</f>
        <v>9089</v>
      </c>
      <c r="S23" s="45"/>
    </row>
    <row r="24" spans="1:19" s="46" customFormat="1" ht="13.5" customHeight="1">
      <c r="A24" s="143"/>
      <c r="B24" s="47" t="s">
        <v>28</v>
      </c>
      <c r="C24" s="48" t="s">
        <v>5</v>
      </c>
      <c r="D24" s="66">
        <v>147345</v>
      </c>
      <c r="E24" s="67">
        <v>152655</v>
      </c>
      <c r="F24" s="67"/>
      <c r="G24" s="67"/>
      <c r="H24" s="67"/>
      <c r="I24" s="68"/>
      <c r="J24" s="108">
        <f>SUM(D24:I24)</f>
        <v>300000</v>
      </c>
      <c r="K24" s="68"/>
      <c r="L24" s="67"/>
      <c r="M24" s="67"/>
      <c r="N24" s="67"/>
      <c r="O24" s="67"/>
      <c r="P24" s="68"/>
      <c r="Q24" s="108">
        <f>SUM(K24:P24)</f>
        <v>0</v>
      </c>
      <c r="R24" s="109">
        <f>Q24+J24</f>
        <v>300000</v>
      </c>
      <c r="S24" s="45"/>
    </row>
    <row r="25" spans="1:19" s="46" customFormat="1" ht="13.5" customHeight="1" thickBot="1">
      <c r="A25" s="144"/>
      <c r="B25" s="20" t="s">
        <v>30</v>
      </c>
      <c r="C25" s="55" t="s">
        <v>6</v>
      </c>
      <c r="D25" s="65">
        <f>IF(D23=0,,D24/D23*1000)</f>
        <v>29246.724890829693</v>
      </c>
      <c r="E25" s="56">
        <f>IF(E23=0,,E24/E23*1000)</f>
        <v>37683.28807701802</v>
      </c>
      <c r="F25" s="56">
        <f aca="true" t="shared" si="6" ref="F25:P25">IF(F23=0,,F24/F23*1000)</f>
        <v>0</v>
      </c>
      <c r="G25" s="56">
        <f t="shared" si="6"/>
        <v>0</v>
      </c>
      <c r="H25" s="56">
        <f t="shared" si="6"/>
        <v>0</v>
      </c>
      <c r="I25" s="57">
        <f t="shared" si="6"/>
        <v>0</v>
      </c>
      <c r="J25" s="58">
        <f t="shared" si="6"/>
        <v>33006.93145560567</v>
      </c>
      <c r="K25" s="57">
        <f t="shared" si="6"/>
        <v>0</v>
      </c>
      <c r="L25" s="56">
        <f t="shared" si="6"/>
        <v>0</v>
      </c>
      <c r="M25" s="56">
        <f t="shared" si="6"/>
        <v>0</v>
      </c>
      <c r="N25" s="56">
        <f t="shared" si="6"/>
        <v>0</v>
      </c>
      <c r="O25" s="56">
        <f t="shared" si="6"/>
        <v>0</v>
      </c>
      <c r="P25" s="57">
        <f t="shared" si="6"/>
        <v>0</v>
      </c>
      <c r="Q25" s="58">
        <f>IF(Q23=0,,Q24/Q23*1000)</f>
        <v>0</v>
      </c>
      <c r="R25" s="59">
        <f>IF(R23=0,,R24/R23*1000)</f>
        <v>33006.93145560567</v>
      </c>
      <c r="S25" s="60"/>
    </row>
    <row r="26" spans="1:19" s="46" customFormat="1" ht="13.5" customHeight="1">
      <c r="A26" s="142" t="s">
        <v>44</v>
      </c>
      <c r="B26" s="47" t="s">
        <v>26</v>
      </c>
      <c r="C26" s="48" t="s">
        <v>4</v>
      </c>
      <c r="D26" s="66"/>
      <c r="E26" s="67">
        <v>3000</v>
      </c>
      <c r="F26" s="67"/>
      <c r="G26" s="67"/>
      <c r="H26" s="67">
        <v>9980</v>
      </c>
      <c r="I26" s="68"/>
      <c r="J26" s="108">
        <f>SUM(D26:I26)</f>
        <v>12980</v>
      </c>
      <c r="K26" s="68"/>
      <c r="L26" s="67"/>
      <c r="M26" s="67"/>
      <c r="N26" s="67"/>
      <c r="O26" s="67"/>
      <c r="P26" s="68"/>
      <c r="Q26" s="108">
        <f>SUM(K26:P26)</f>
        <v>0</v>
      </c>
      <c r="R26" s="109">
        <f>Q26+J26</f>
        <v>12980</v>
      </c>
      <c r="S26" s="45"/>
    </row>
    <row r="27" spans="1:19" s="46" customFormat="1" ht="13.5" customHeight="1">
      <c r="A27" s="143"/>
      <c r="B27" s="47" t="s">
        <v>28</v>
      </c>
      <c r="C27" s="48" t="s">
        <v>5</v>
      </c>
      <c r="D27" s="66"/>
      <c r="E27" s="67">
        <v>107950</v>
      </c>
      <c r="F27" s="67"/>
      <c r="G27" s="67"/>
      <c r="H27" s="67">
        <v>396288</v>
      </c>
      <c r="I27" s="68"/>
      <c r="J27" s="108">
        <f>SUM(D27:I27)</f>
        <v>504238</v>
      </c>
      <c r="K27" s="68"/>
      <c r="L27" s="67"/>
      <c r="M27" s="67"/>
      <c r="N27" s="67"/>
      <c r="O27" s="67"/>
      <c r="P27" s="68"/>
      <c r="Q27" s="108">
        <f>SUM(K27:P27)</f>
        <v>0</v>
      </c>
      <c r="R27" s="109">
        <f>Q27+J27</f>
        <v>504238</v>
      </c>
      <c r="S27" s="45"/>
    </row>
    <row r="28" spans="1:19" s="46" customFormat="1" ht="13.5" customHeight="1" thickBot="1">
      <c r="A28" s="144"/>
      <c r="B28" s="20" t="s">
        <v>30</v>
      </c>
      <c r="C28" s="55" t="s">
        <v>6</v>
      </c>
      <c r="D28" s="65">
        <f>IF(D26=0,,D27/D26*1000)</f>
        <v>0</v>
      </c>
      <c r="E28" s="56">
        <f>IF(E26=0,,E27/E26*1000)</f>
        <v>35983.333333333336</v>
      </c>
      <c r="F28" s="56">
        <f aca="true" t="shared" si="7" ref="F28:P28">IF(F26=0,,F27/F26*1000)</f>
        <v>0</v>
      </c>
      <c r="G28" s="56">
        <f t="shared" si="7"/>
        <v>0</v>
      </c>
      <c r="H28" s="56">
        <f t="shared" si="7"/>
        <v>39708.21643286573</v>
      </c>
      <c r="I28" s="57">
        <f t="shared" si="7"/>
        <v>0</v>
      </c>
      <c r="J28" s="58">
        <f t="shared" si="7"/>
        <v>38847.30354391371</v>
      </c>
      <c r="K28" s="57">
        <f t="shared" si="7"/>
        <v>0</v>
      </c>
      <c r="L28" s="56">
        <f t="shared" si="7"/>
        <v>0</v>
      </c>
      <c r="M28" s="56">
        <f t="shared" si="7"/>
        <v>0</v>
      </c>
      <c r="N28" s="56">
        <f t="shared" si="7"/>
        <v>0</v>
      </c>
      <c r="O28" s="56">
        <f t="shared" si="7"/>
        <v>0</v>
      </c>
      <c r="P28" s="57">
        <f t="shared" si="7"/>
        <v>0</v>
      </c>
      <c r="Q28" s="58">
        <f>IF(Q26=0,,Q27/Q26*1000)</f>
        <v>0</v>
      </c>
      <c r="R28" s="59">
        <f>IF(R26=0,,R27/R26*1000)</f>
        <v>38847.30354391371</v>
      </c>
      <c r="S28" s="80"/>
    </row>
    <row r="29" spans="1:19" s="46" customFormat="1" ht="13.5" customHeight="1">
      <c r="A29" s="142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43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68"/>
      <c r="L30" s="67"/>
      <c r="M30" s="67"/>
      <c r="N30" s="67"/>
      <c r="O30" s="67"/>
      <c r="P30" s="68"/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44"/>
      <c r="B31" s="20" t="s">
        <v>30</v>
      </c>
      <c r="C31" s="55" t="s">
        <v>6</v>
      </c>
      <c r="D31" s="65">
        <f>IF(D29=0,,D30/D29*1000)</f>
        <v>0</v>
      </c>
      <c r="E31" s="56">
        <f>IF(E29=0,,E30/E29*1000)</f>
        <v>0</v>
      </c>
      <c r="F31" s="56">
        <f aca="true" t="shared" si="8" ref="F31:P31">IF(F29=0,,F30/F29*1000)</f>
        <v>0</v>
      </c>
      <c r="G31" s="56">
        <f t="shared" si="8"/>
        <v>0</v>
      </c>
      <c r="H31" s="56">
        <f>IF(H29=0,,H30/H29*1000)</f>
        <v>0</v>
      </c>
      <c r="I31" s="57">
        <f>IF(I29=0,,I30/I29*1000)</f>
        <v>0</v>
      </c>
      <c r="J31" s="58">
        <f t="shared" si="8"/>
        <v>0</v>
      </c>
      <c r="K31" s="57">
        <f t="shared" si="8"/>
        <v>0</v>
      </c>
      <c r="L31" s="56">
        <f t="shared" si="8"/>
        <v>0</v>
      </c>
      <c r="M31" s="56">
        <f t="shared" si="8"/>
        <v>0</v>
      </c>
      <c r="N31" s="56">
        <f t="shared" si="8"/>
        <v>0</v>
      </c>
      <c r="O31" s="56">
        <f t="shared" si="8"/>
        <v>0</v>
      </c>
      <c r="P31" s="57">
        <f t="shared" si="8"/>
        <v>0</v>
      </c>
      <c r="Q31" s="58">
        <f>IF(Q29=0,,Q30/Q29*1000)</f>
        <v>0</v>
      </c>
      <c r="R31" s="59">
        <f>IF(R29=0,,R30/R29*1000)</f>
        <v>0</v>
      </c>
      <c r="S31" s="60"/>
    </row>
    <row r="32" spans="1:19" s="46" customFormat="1" ht="13.5" customHeight="1">
      <c r="A32" s="142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43"/>
      <c r="B33" s="47" t="s">
        <v>28</v>
      </c>
      <c r="C33" s="48" t="s">
        <v>5</v>
      </c>
      <c r="D33" s="66"/>
      <c r="E33" s="67"/>
      <c r="F33" s="67"/>
      <c r="G33" s="67"/>
      <c r="H33" s="67"/>
      <c r="I33" s="68"/>
      <c r="J33" s="52">
        <f>SUM(D33:I33)</f>
        <v>0</v>
      </c>
      <c r="K33" s="68"/>
      <c r="L33" s="67"/>
      <c r="M33" s="67"/>
      <c r="N33" s="67"/>
      <c r="O33" s="67"/>
      <c r="P33" s="68"/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44"/>
      <c r="B34" s="20" t="s">
        <v>30</v>
      </c>
      <c r="C34" s="55" t="s">
        <v>6</v>
      </c>
      <c r="D34" s="81">
        <f>IF(D32=0,,D33/D32*1000)</f>
        <v>0</v>
      </c>
      <c r="E34" s="56">
        <f>IF(E32=0,,E33/E32*1000)</f>
        <v>0</v>
      </c>
      <c r="F34" s="56">
        <f aca="true" t="shared" si="9" ref="F34:P34">IF(F32=0,,F33/F32*1000)</f>
        <v>0</v>
      </c>
      <c r="G34" s="82">
        <f t="shared" si="9"/>
        <v>0</v>
      </c>
      <c r="H34" s="82">
        <f t="shared" si="9"/>
        <v>0</v>
      </c>
      <c r="I34" s="83">
        <f t="shared" si="9"/>
        <v>0</v>
      </c>
      <c r="J34" s="58">
        <f t="shared" si="9"/>
        <v>0</v>
      </c>
      <c r="K34" s="57">
        <f t="shared" si="9"/>
        <v>0</v>
      </c>
      <c r="L34" s="56">
        <f t="shared" si="9"/>
        <v>0</v>
      </c>
      <c r="M34" s="56">
        <f t="shared" si="9"/>
        <v>0</v>
      </c>
      <c r="N34" s="56">
        <f t="shared" si="9"/>
        <v>0</v>
      </c>
      <c r="O34" s="56">
        <f t="shared" si="9"/>
        <v>0</v>
      </c>
      <c r="P34" s="57">
        <f t="shared" si="9"/>
        <v>0</v>
      </c>
      <c r="Q34" s="58">
        <f>IF(Q32=0,,Q33/Q32*1000)</f>
        <v>0</v>
      </c>
      <c r="R34" s="59">
        <f>IF(R32=0,,R33/R32*1000)</f>
        <v>0</v>
      </c>
      <c r="S34" s="80"/>
    </row>
    <row r="35" spans="1:19" s="46" customFormat="1" ht="13.5" customHeight="1">
      <c r="A35" s="142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43"/>
      <c r="B36" s="47" t="s">
        <v>28</v>
      </c>
      <c r="C36" s="48" t="s">
        <v>5</v>
      </c>
      <c r="D36" s="66"/>
      <c r="E36" s="67"/>
      <c r="F36" s="67"/>
      <c r="G36" s="67"/>
      <c r="H36" s="67"/>
      <c r="I36" s="68"/>
      <c r="J36" s="52">
        <f>SUM(D36:I36)</f>
        <v>0</v>
      </c>
      <c r="K36" s="68"/>
      <c r="L36" s="67"/>
      <c r="M36" s="67"/>
      <c r="N36" s="67"/>
      <c r="O36" s="67"/>
      <c r="P36" s="68"/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44"/>
      <c r="B37" s="20" t="s">
        <v>30</v>
      </c>
      <c r="C37" s="55" t="s">
        <v>6</v>
      </c>
      <c r="D37" s="81">
        <f aca="true" t="shared" si="10" ref="D37:I37">IF(D35=0,,D36/D35*1000)</f>
        <v>0</v>
      </c>
      <c r="E37" s="56">
        <f t="shared" si="10"/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57">
        <f t="shared" si="10"/>
        <v>0</v>
      </c>
      <c r="J37" s="58">
        <f aca="true" t="shared" si="11" ref="J37:P37">IF(J35=0,,J36/J35*1000)</f>
        <v>0</v>
      </c>
      <c r="K37" s="57">
        <f t="shared" si="11"/>
        <v>0</v>
      </c>
      <c r="L37" s="56">
        <f t="shared" si="11"/>
        <v>0</v>
      </c>
      <c r="M37" s="56">
        <f t="shared" si="11"/>
        <v>0</v>
      </c>
      <c r="N37" s="56">
        <f t="shared" si="11"/>
        <v>0</v>
      </c>
      <c r="O37" s="56">
        <f t="shared" si="11"/>
        <v>0</v>
      </c>
      <c r="P37" s="57">
        <f t="shared" si="11"/>
        <v>0</v>
      </c>
      <c r="Q37" s="58">
        <f>IF(Q35=0,,Q36/Q35*1000)</f>
        <v>0</v>
      </c>
      <c r="R37" s="59">
        <f>IF(R35=0,,R36/R35*1000)</f>
        <v>0</v>
      </c>
      <c r="S37" s="80"/>
    </row>
    <row r="38" spans="1:19" s="46" customFormat="1" ht="13.5" customHeight="1">
      <c r="A38" s="142" t="s">
        <v>52</v>
      </c>
      <c r="B38" s="47" t="s">
        <v>26</v>
      </c>
      <c r="C38" s="48" t="s">
        <v>4</v>
      </c>
      <c r="D38" s="66"/>
      <c r="E38" s="67"/>
      <c r="F38" s="67"/>
      <c r="G38" s="67"/>
      <c r="H38" s="67"/>
      <c r="I38" s="68"/>
      <c r="J38" s="52">
        <f>SUM(D38:I38)</f>
        <v>0</v>
      </c>
      <c r="K38" s="68"/>
      <c r="L38" s="67"/>
      <c r="M38" s="67"/>
      <c r="N38" s="67"/>
      <c r="O38" s="67">
        <v>1470</v>
      </c>
      <c r="P38" s="68"/>
      <c r="Q38" s="52">
        <f>SUM(K38:P38)</f>
        <v>1470</v>
      </c>
      <c r="R38" s="53">
        <f>Q38+J38</f>
        <v>1470</v>
      </c>
      <c r="S38" s="45"/>
    </row>
    <row r="39" spans="1:19" s="46" customFormat="1" ht="13.5" customHeight="1">
      <c r="A39" s="143"/>
      <c r="B39" s="47" t="s">
        <v>28</v>
      </c>
      <c r="C39" s="48" t="s">
        <v>5</v>
      </c>
      <c r="D39" s="66"/>
      <c r="E39" s="67"/>
      <c r="F39" s="67"/>
      <c r="G39" s="67"/>
      <c r="H39" s="67"/>
      <c r="I39" s="68"/>
      <c r="J39" s="52">
        <f>SUM(D39:I39)</f>
        <v>0</v>
      </c>
      <c r="K39" s="68"/>
      <c r="L39" s="67"/>
      <c r="M39" s="67"/>
      <c r="N39" s="67"/>
      <c r="O39" s="67">
        <v>62070</v>
      </c>
      <c r="P39" s="68"/>
      <c r="Q39" s="52">
        <f>SUM(K39:P39)</f>
        <v>62070</v>
      </c>
      <c r="R39" s="53">
        <f>Q39+J39</f>
        <v>62070</v>
      </c>
      <c r="S39" s="45"/>
    </row>
    <row r="40" spans="1:19" s="46" customFormat="1" ht="13.5" customHeight="1" thickBot="1">
      <c r="A40" s="144"/>
      <c r="B40" s="20" t="s">
        <v>30</v>
      </c>
      <c r="C40" s="55" t="s">
        <v>6</v>
      </c>
      <c r="D40" s="81">
        <f aca="true" t="shared" si="12" ref="D40:I40">IF(D38=0,,D39/D38*1000)</f>
        <v>0</v>
      </c>
      <c r="E40" s="56">
        <f t="shared" si="12"/>
        <v>0</v>
      </c>
      <c r="F40" s="56">
        <f t="shared" si="12"/>
        <v>0</v>
      </c>
      <c r="G40" s="56">
        <f t="shared" si="12"/>
        <v>0</v>
      </c>
      <c r="H40" s="56">
        <f t="shared" si="12"/>
        <v>0</v>
      </c>
      <c r="I40" s="57">
        <f t="shared" si="12"/>
        <v>0</v>
      </c>
      <c r="J40" s="58">
        <f aca="true" t="shared" si="13" ref="J40:P40">IF(J38=0,,J39/J38*1000)</f>
        <v>0</v>
      </c>
      <c r="K40" s="57">
        <f t="shared" si="13"/>
        <v>0</v>
      </c>
      <c r="L40" s="56">
        <f t="shared" si="13"/>
        <v>0</v>
      </c>
      <c r="M40" s="56">
        <f t="shared" si="13"/>
        <v>0</v>
      </c>
      <c r="N40" s="56">
        <f t="shared" si="13"/>
        <v>0</v>
      </c>
      <c r="O40" s="56">
        <f t="shared" si="13"/>
        <v>42224.489795918365</v>
      </c>
      <c r="P40" s="57">
        <f t="shared" si="13"/>
        <v>0</v>
      </c>
      <c r="Q40" s="58">
        <f>IF(Q38=0,,Q39/Q38*1000)</f>
        <v>42224.489795918365</v>
      </c>
      <c r="R40" s="59">
        <f>IF(R38=0,,R39/R38*1000)</f>
        <v>42224.489795918365</v>
      </c>
      <c r="S40" s="80"/>
    </row>
    <row r="41" spans="1:19" s="46" customFormat="1" ht="18" customHeight="1">
      <c r="A41" s="142" t="s">
        <v>7</v>
      </c>
      <c r="B41" s="47" t="s">
        <v>26</v>
      </c>
      <c r="C41" s="48" t="s">
        <v>4</v>
      </c>
      <c r="D41" s="105">
        <f>D5+D8+D11+D14+D17+D20+D23+D26+D29+D32+D35+D38</f>
        <v>38312</v>
      </c>
      <c r="E41" s="106">
        <f>E5+E8+E11+E14+E17+E20+E23+E26+E29+E32+E35+E38</f>
        <v>21211</v>
      </c>
      <c r="F41" s="106">
        <f aca="true" t="shared" si="14" ref="F41:I42">F5+F8+F11+F14+F17+F20+F23+F26+F29+F32+F35+F38</f>
        <v>0</v>
      </c>
      <c r="G41" s="106">
        <f t="shared" si="14"/>
        <v>0</v>
      </c>
      <c r="H41" s="106">
        <f t="shared" si="14"/>
        <v>17131</v>
      </c>
      <c r="I41" s="107">
        <f t="shared" si="14"/>
        <v>0</v>
      </c>
      <c r="J41" s="108">
        <f aca="true" t="shared" si="15" ref="J41:R42">J5+J8+J11+J14+J17+J20+J23+J26+J29+J32+J35+J38</f>
        <v>76654</v>
      </c>
      <c r="K41" s="107">
        <f t="shared" si="15"/>
        <v>12762</v>
      </c>
      <c r="L41" s="106">
        <f t="shared" si="15"/>
        <v>28886</v>
      </c>
      <c r="M41" s="106">
        <f t="shared" si="15"/>
        <v>14661</v>
      </c>
      <c r="N41" s="106">
        <f t="shared" si="15"/>
        <v>29322</v>
      </c>
      <c r="O41" s="106">
        <f t="shared" si="15"/>
        <v>10465</v>
      </c>
      <c r="P41" s="107">
        <f t="shared" si="15"/>
        <v>4500</v>
      </c>
      <c r="Q41" s="108">
        <f t="shared" si="15"/>
        <v>100596</v>
      </c>
      <c r="R41" s="109">
        <f t="shared" si="15"/>
        <v>177250</v>
      </c>
      <c r="S41" s="45"/>
    </row>
    <row r="42" spans="1:19" s="46" customFormat="1" ht="18" customHeight="1">
      <c r="A42" s="143"/>
      <c r="B42" s="47" t="s">
        <v>28</v>
      </c>
      <c r="C42" s="48" t="s">
        <v>5</v>
      </c>
      <c r="D42" s="105">
        <f>D6+D9+D12+D15+D18+D21+D24+D27+D30+D33+D36+D39</f>
        <v>1228832</v>
      </c>
      <c r="E42" s="106">
        <f>E6+E9+E12+E15+E18+E21+E24+E27+E30+E33+E36+E39</f>
        <v>768511</v>
      </c>
      <c r="F42" s="106">
        <f t="shared" si="14"/>
        <v>0</v>
      </c>
      <c r="G42" s="106">
        <f t="shared" si="14"/>
        <v>0</v>
      </c>
      <c r="H42" s="106">
        <f t="shared" si="14"/>
        <v>684891</v>
      </c>
      <c r="I42" s="107">
        <f t="shared" si="14"/>
        <v>0</v>
      </c>
      <c r="J42" s="108">
        <f t="shared" si="15"/>
        <v>2682234</v>
      </c>
      <c r="K42" s="107">
        <f t="shared" si="15"/>
        <v>543511</v>
      </c>
      <c r="L42" s="106">
        <f t="shared" si="15"/>
        <v>1098321</v>
      </c>
      <c r="M42" s="106">
        <f t="shared" si="15"/>
        <v>736245</v>
      </c>
      <c r="N42" s="106">
        <f t="shared" si="15"/>
        <v>1333329</v>
      </c>
      <c r="O42" s="106">
        <f t="shared" si="15"/>
        <v>465143</v>
      </c>
      <c r="P42" s="107">
        <f t="shared" si="15"/>
        <v>188874</v>
      </c>
      <c r="Q42" s="108">
        <f t="shared" si="15"/>
        <v>4365423</v>
      </c>
      <c r="R42" s="109">
        <f t="shared" si="15"/>
        <v>7047657</v>
      </c>
      <c r="S42" s="45"/>
    </row>
    <row r="43" spans="1:19" s="46" customFormat="1" ht="18" customHeight="1" thickBot="1">
      <c r="A43" s="145"/>
      <c r="B43" s="20" t="s">
        <v>30</v>
      </c>
      <c r="C43" s="55" t="s">
        <v>6</v>
      </c>
      <c r="D43" s="65">
        <f>IF(D41=0,,D42/D41*1000)</f>
        <v>32074.33702234287</v>
      </c>
      <c r="E43" s="56">
        <f>IF(E41=0,,E42/E41*1000)</f>
        <v>36231.71939088209</v>
      </c>
      <c r="F43" s="56">
        <f aca="true" t="shared" si="16" ref="F43:P43">IF(F41=0,,F42/F41*1000)</f>
        <v>0</v>
      </c>
      <c r="G43" s="56">
        <f t="shared" si="16"/>
        <v>0</v>
      </c>
      <c r="H43" s="56">
        <f t="shared" si="16"/>
        <v>39979.62757573989</v>
      </c>
      <c r="I43" s="57">
        <f t="shared" si="16"/>
        <v>0</v>
      </c>
      <c r="J43" s="58">
        <f t="shared" si="16"/>
        <v>34991.44206434106</v>
      </c>
      <c r="K43" s="57">
        <f t="shared" si="16"/>
        <v>42588.230684845636</v>
      </c>
      <c r="L43" s="56">
        <f t="shared" si="16"/>
        <v>38022.60610676452</v>
      </c>
      <c r="M43" s="56">
        <f t="shared" si="16"/>
        <v>50217.925107427865</v>
      </c>
      <c r="N43" s="56">
        <f t="shared" si="16"/>
        <v>45471.9664415797</v>
      </c>
      <c r="O43" s="56">
        <f t="shared" si="16"/>
        <v>44447.49163879599</v>
      </c>
      <c r="P43" s="57">
        <f t="shared" si="16"/>
        <v>41972</v>
      </c>
      <c r="Q43" s="58">
        <f>IF(Q41=0,,Q42/Q41*1000)</f>
        <v>43395.59227007038</v>
      </c>
      <c r="R43" s="59">
        <f>IF(R41=0,,R42/R41*1000)</f>
        <v>39761.11142454161</v>
      </c>
      <c r="S43" s="60"/>
    </row>
    <row r="44" spans="1:19" s="46" customFormat="1" ht="24" customHeight="1" thickBot="1">
      <c r="A44" s="146" t="s">
        <v>23</v>
      </c>
      <c r="B44" s="147"/>
      <c r="C44" s="148"/>
      <c r="D44" s="85">
        <v>106.25</v>
      </c>
      <c r="E44" s="86">
        <v>110.39</v>
      </c>
      <c r="F44" s="127">
        <v>111.1</v>
      </c>
      <c r="G44" s="87">
        <v>108.75</v>
      </c>
      <c r="H44" s="87">
        <v>110.45</v>
      </c>
      <c r="I44" s="61">
        <v>109.73</v>
      </c>
      <c r="J44" s="62">
        <v>109.55</v>
      </c>
      <c r="K44" s="63">
        <v>110.29</v>
      </c>
      <c r="L44" s="112">
        <v>106.67</v>
      </c>
      <c r="M44" s="64">
        <v>103.64</v>
      </c>
      <c r="N44" s="64">
        <v>103.66</v>
      </c>
      <c r="O44" s="87">
        <v>103.83</v>
      </c>
      <c r="P44" s="88">
        <v>104.83</v>
      </c>
      <c r="Q44" s="89">
        <v>105.35</v>
      </c>
      <c r="R44" s="84">
        <v>107.34</v>
      </c>
      <c r="S44" s="45"/>
    </row>
    <row r="45" ht="15.75" customHeight="1">
      <c r="A45" s="113"/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&amp;C&amp;20-5-</oddFooter>
  </headerFooter>
  <colBreaks count="1" manualBreakCount="1">
    <brk id="18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9.421875" style="0" customWidth="1"/>
  </cols>
  <sheetData>
    <row r="2" spans="1:16" ht="27" customHeight="1">
      <c r="A2" s="17" t="s">
        <v>55</v>
      </c>
      <c r="B2" s="34" t="s">
        <v>75</v>
      </c>
      <c r="C2" s="1"/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6" t="s">
        <v>32</v>
      </c>
      <c r="B5" s="47" t="s">
        <v>26</v>
      </c>
      <c r="C5" s="48" t="s">
        <v>4</v>
      </c>
      <c r="D5" s="105">
        <f>'B一般'!D5+'B原料'!D5</f>
        <v>76611</v>
      </c>
      <c r="E5" s="106">
        <f>'B一般'!E5+'B原料'!E5</f>
        <v>112094</v>
      </c>
      <c r="F5" s="106">
        <f>'B一般'!F5+'B原料'!F5</f>
        <v>67694</v>
      </c>
      <c r="G5" s="106">
        <f>'B一般'!G5+'B原料'!G5</f>
        <v>57017</v>
      </c>
      <c r="H5" s="106">
        <f>'B一般'!H5+'B原料'!H5</f>
        <v>136821</v>
      </c>
      <c r="I5" s="107">
        <f>'B一般'!I5+'B原料'!I5</f>
        <v>41166</v>
      </c>
      <c r="J5" s="108">
        <f>'B一般'!J5+'B原料'!J5</f>
        <v>491403</v>
      </c>
      <c r="K5" s="107">
        <f>'B一般'!K5+'B原料'!K5</f>
        <v>109689</v>
      </c>
      <c r="L5" s="106">
        <f>'B一般'!L5+'B原料'!L5</f>
        <v>107729</v>
      </c>
      <c r="M5" s="106">
        <f>'B一般'!M5+'B原料'!M5</f>
        <v>35149</v>
      </c>
      <c r="N5" s="106">
        <f>'B一般'!N5+'B原料'!N5</f>
        <v>35591</v>
      </c>
      <c r="O5" s="106">
        <f>'B一般'!O5+'B原料'!O5</f>
        <v>59290</v>
      </c>
      <c r="P5" s="107">
        <f>'B一般'!P5+'B原料'!P5</f>
        <v>78240</v>
      </c>
      <c r="Q5" s="108">
        <f>'B一般'!Q5+'B原料'!Q5</f>
        <v>425688</v>
      </c>
      <c r="R5" s="109">
        <f>'B一般'!R5+'B原料'!R5</f>
        <v>917091</v>
      </c>
      <c r="S5" s="45"/>
    </row>
    <row r="6" spans="1:19" s="46" customFormat="1" ht="13.5" customHeight="1">
      <c r="A6" s="143"/>
      <c r="B6" s="47" t="s">
        <v>28</v>
      </c>
      <c r="C6" s="48" t="s">
        <v>5</v>
      </c>
      <c r="D6" s="105">
        <f>'B一般'!D6+'B原料'!D6</f>
        <v>2530224</v>
      </c>
      <c r="E6" s="106">
        <f>'B一般'!E6+'B原料'!E6</f>
        <v>4331460</v>
      </c>
      <c r="F6" s="106">
        <f>'B一般'!F6+'B原料'!F6</f>
        <v>2776477</v>
      </c>
      <c r="G6" s="106">
        <f>'B一般'!G6+'B原料'!G6</f>
        <v>2304034</v>
      </c>
      <c r="H6" s="106">
        <f>'B一般'!H6+'B原料'!H6</f>
        <v>5413874</v>
      </c>
      <c r="I6" s="107">
        <f>'B一般'!I6+'B原料'!I6</f>
        <v>1731370</v>
      </c>
      <c r="J6" s="108">
        <f>'B一般'!J6+'B原料'!J6</f>
        <v>19087439</v>
      </c>
      <c r="K6" s="107">
        <f>'B一般'!K6+'B原料'!K6</f>
        <v>5164283</v>
      </c>
      <c r="L6" s="106">
        <f>'B一般'!L6+'B原料'!L6</f>
        <v>5015723</v>
      </c>
      <c r="M6" s="106">
        <f>'B一般'!M6+'B原料'!M6</f>
        <v>1793381</v>
      </c>
      <c r="N6" s="106">
        <f>'B一般'!N6+'B原料'!N6</f>
        <v>1785320</v>
      </c>
      <c r="O6" s="106">
        <f>'B一般'!O6+'B原料'!O6</f>
        <v>2491862</v>
      </c>
      <c r="P6" s="107">
        <f>'B一般'!P6+'B原料'!P6</f>
        <v>3408569</v>
      </c>
      <c r="Q6" s="108">
        <f>'B一般'!Q6+'B原料'!Q6</f>
        <v>19659138</v>
      </c>
      <c r="R6" s="109">
        <f>'B一般'!R6+'B原料'!R6</f>
        <v>38746577</v>
      </c>
      <c r="S6" s="45"/>
    </row>
    <row r="7" spans="1:19" s="46" customFormat="1" ht="13.5" customHeight="1" thickBot="1">
      <c r="A7" s="144"/>
      <c r="B7" s="20" t="s">
        <v>30</v>
      </c>
      <c r="C7" s="55" t="s">
        <v>6</v>
      </c>
      <c r="D7" s="65">
        <f aca="true" t="shared" si="0" ref="D7:I7">IF(D5=0,,D6/D5*1000)</f>
        <v>33026.90214199006</v>
      </c>
      <c r="E7" s="56">
        <f t="shared" si="0"/>
        <v>38641.31889307188</v>
      </c>
      <c r="F7" s="56">
        <f t="shared" si="0"/>
        <v>41015.112122196944</v>
      </c>
      <c r="G7" s="56">
        <f t="shared" si="0"/>
        <v>40409.597137695775</v>
      </c>
      <c r="H7" s="56">
        <f t="shared" si="0"/>
        <v>39569.02814626409</v>
      </c>
      <c r="I7" s="57">
        <f t="shared" si="0"/>
        <v>42058.25195549725</v>
      </c>
      <c r="J7" s="58">
        <f>(J6/J5)*1000</f>
        <v>38842.740072811925</v>
      </c>
      <c r="K7" s="57">
        <f aca="true" t="shared" si="1" ref="K7:R7">IF(K5=0,,K6/K5*1000)</f>
        <v>47081.13849155339</v>
      </c>
      <c r="L7" s="56">
        <f t="shared" si="1"/>
        <v>46558.70749751692</v>
      </c>
      <c r="M7" s="56">
        <f t="shared" si="1"/>
        <v>51022.248143617166</v>
      </c>
      <c r="N7" s="56">
        <f t="shared" si="1"/>
        <v>50162.11963698688</v>
      </c>
      <c r="O7" s="56">
        <f t="shared" si="1"/>
        <v>42028.36903356384</v>
      </c>
      <c r="P7" s="57">
        <f t="shared" si="1"/>
        <v>43565.55470347648</v>
      </c>
      <c r="Q7" s="58">
        <f t="shared" si="1"/>
        <v>46182.03472966116</v>
      </c>
      <c r="R7" s="59">
        <f t="shared" si="1"/>
        <v>42249.435443156675</v>
      </c>
      <c r="S7" s="60"/>
    </row>
    <row r="8" spans="1:19" s="46" customFormat="1" ht="13.5" customHeight="1">
      <c r="A8" s="142" t="s">
        <v>33</v>
      </c>
      <c r="B8" s="47" t="s">
        <v>26</v>
      </c>
      <c r="C8" s="48" t="s">
        <v>4</v>
      </c>
      <c r="D8" s="105">
        <f>'B一般'!D8+'B原料'!D8</f>
        <v>25293</v>
      </c>
      <c r="E8" s="106">
        <f>'B一般'!E8+'B原料'!E8</f>
        <v>52688</v>
      </c>
      <c r="F8" s="106">
        <f>'B一般'!F8+'B原料'!F8</f>
        <v>47160</v>
      </c>
      <c r="G8" s="106">
        <f>'B一般'!G8+'B原料'!G8</f>
        <v>23622</v>
      </c>
      <c r="H8" s="106">
        <f>'B一般'!H8+'B原料'!H8</f>
        <v>46032</v>
      </c>
      <c r="I8" s="107">
        <f>'B一般'!I8+'B原料'!I8</f>
        <v>38055</v>
      </c>
      <c r="J8" s="108">
        <f>'B一般'!J8+'B原料'!J8</f>
        <v>232850</v>
      </c>
      <c r="K8" s="107">
        <f>'B一般'!K8+'B原料'!K8</f>
        <v>23669</v>
      </c>
      <c r="L8" s="106">
        <f>'B一般'!L8+'B原料'!L8</f>
        <v>11798</v>
      </c>
      <c r="M8" s="106">
        <f>'B一般'!M8+'B原料'!M8</f>
        <v>21117</v>
      </c>
      <c r="N8" s="106">
        <f>'B一般'!N8+'B原料'!N8</f>
        <v>32935</v>
      </c>
      <c r="O8" s="106">
        <f>'B一般'!O8+'B原料'!O8</f>
        <v>38847</v>
      </c>
      <c r="P8" s="107">
        <f>'B一般'!P8+'B原料'!P8</f>
        <v>26019</v>
      </c>
      <c r="Q8" s="108">
        <f>'B一般'!Q8+'B原料'!Q8</f>
        <v>154385</v>
      </c>
      <c r="R8" s="109">
        <f>'B一般'!R8+'B原料'!R8</f>
        <v>387235</v>
      </c>
      <c r="S8" s="45"/>
    </row>
    <row r="9" spans="1:19" s="46" customFormat="1" ht="13.5" customHeight="1">
      <c r="A9" s="143"/>
      <c r="B9" s="47" t="s">
        <v>28</v>
      </c>
      <c r="C9" s="48" t="s">
        <v>5</v>
      </c>
      <c r="D9" s="105">
        <f>'B一般'!D9+'B原料'!D9</f>
        <v>781124</v>
      </c>
      <c r="E9" s="106">
        <f>'B一般'!E9+'B原料'!E9</f>
        <v>1884970</v>
      </c>
      <c r="F9" s="106">
        <f>'B一般'!F9+'B原料'!F9</f>
        <v>1877876</v>
      </c>
      <c r="G9" s="106">
        <f>'B一般'!G9+'B原料'!G9</f>
        <v>969467</v>
      </c>
      <c r="H9" s="106">
        <f>'B一般'!H9+'B原料'!H9</f>
        <v>1846523</v>
      </c>
      <c r="I9" s="107">
        <f>'B一般'!I9+'B原料'!I9</f>
        <v>1578716</v>
      </c>
      <c r="J9" s="108">
        <f>'B一般'!J9+'B原料'!J9</f>
        <v>8938676</v>
      </c>
      <c r="K9" s="107">
        <f>'B一般'!K9+'B原料'!K9</f>
        <v>1088259</v>
      </c>
      <c r="L9" s="106">
        <f>'B一般'!L9+'B原料'!L9</f>
        <v>632051</v>
      </c>
      <c r="M9" s="106">
        <f>'B一般'!M9+'B原料'!M9</f>
        <v>1039702</v>
      </c>
      <c r="N9" s="106">
        <f>'B一般'!N9+'B原料'!N9</f>
        <v>1476895</v>
      </c>
      <c r="O9" s="106">
        <f>'B一般'!O9+'B原料'!O9</f>
        <v>1653925</v>
      </c>
      <c r="P9" s="107">
        <f>'B一般'!P9+'B原料'!P9</f>
        <v>1100668</v>
      </c>
      <c r="Q9" s="108">
        <f>'B一般'!Q9+'B原料'!Q9</f>
        <v>6991500</v>
      </c>
      <c r="R9" s="109">
        <f>'B一般'!R9+'B原料'!R9</f>
        <v>15930176</v>
      </c>
      <c r="S9" s="45"/>
    </row>
    <row r="10" spans="1:19" s="46" customFormat="1" ht="13.5" customHeight="1" thickBot="1">
      <c r="A10" s="144"/>
      <c r="B10" s="20" t="s">
        <v>30</v>
      </c>
      <c r="C10" s="55" t="s">
        <v>6</v>
      </c>
      <c r="D10" s="65">
        <f aca="true" t="shared" si="2" ref="D10:I10">IF(D8=0,,D9/D8*1000)</f>
        <v>30883.011109793224</v>
      </c>
      <c r="E10" s="56">
        <f t="shared" si="2"/>
        <v>35776.07804433647</v>
      </c>
      <c r="F10" s="56">
        <f t="shared" si="2"/>
        <v>39819.25360474979</v>
      </c>
      <c r="G10" s="56">
        <f t="shared" si="2"/>
        <v>41040.851748370165</v>
      </c>
      <c r="H10" s="56">
        <f t="shared" si="2"/>
        <v>40113.89902676399</v>
      </c>
      <c r="I10" s="57">
        <f t="shared" si="2"/>
        <v>41485.11365129418</v>
      </c>
      <c r="J10" s="58">
        <f>(J9/J8)*1000</f>
        <v>38388.129697229975</v>
      </c>
      <c r="K10" s="57">
        <f aca="true" t="shared" si="3" ref="K10:R10">IF(K8=0,,K9/K8*1000)</f>
        <v>45978.24158181588</v>
      </c>
      <c r="L10" s="56">
        <f t="shared" si="3"/>
        <v>53572.724190540765</v>
      </c>
      <c r="M10" s="56">
        <f t="shared" si="3"/>
        <v>49235.308045650425</v>
      </c>
      <c r="N10" s="56">
        <f t="shared" si="3"/>
        <v>44842.72051009565</v>
      </c>
      <c r="O10" s="56">
        <f t="shared" si="3"/>
        <v>42575.35974463923</v>
      </c>
      <c r="P10" s="57">
        <f t="shared" si="3"/>
        <v>42302.471270994276</v>
      </c>
      <c r="Q10" s="58">
        <f t="shared" si="3"/>
        <v>45286.13531107297</v>
      </c>
      <c r="R10" s="59">
        <f t="shared" si="3"/>
        <v>41138.26487791651</v>
      </c>
      <c r="S10" s="45"/>
    </row>
    <row r="11" spans="1:19" s="46" customFormat="1" ht="13.5" customHeight="1">
      <c r="A11" s="142" t="s">
        <v>35</v>
      </c>
      <c r="B11" s="47" t="s">
        <v>26</v>
      </c>
      <c r="C11" s="48" t="s">
        <v>4</v>
      </c>
      <c r="D11" s="105">
        <f>'B一般'!D11+'B原料'!D11</f>
        <v>0</v>
      </c>
      <c r="E11" s="106">
        <f>'B一般'!E11+'B原料'!E11</f>
        <v>0</v>
      </c>
      <c r="F11" s="106">
        <f>'B一般'!F11+'B原料'!F11</f>
        <v>21161</v>
      </c>
      <c r="G11" s="106">
        <f>'B一般'!G11+'B原料'!G11</f>
        <v>2291</v>
      </c>
      <c r="H11" s="106">
        <f>'B一般'!H11+'B原料'!H11</f>
        <v>13525</v>
      </c>
      <c r="I11" s="107">
        <f>'B一般'!I11+'B原料'!I11</f>
        <v>11769</v>
      </c>
      <c r="J11" s="108">
        <f>'B一般'!J11+'B原料'!J11</f>
        <v>48746</v>
      </c>
      <c r="K11" s="107">
        <f>'B一般'!K11+'B原料'!K11</f>
        <v>5996</v>
      </c>
      <c r="L11" s="106">
        <f>'B一般'!L11+'B原料'!L11</f>
        <v>19372</v>
      </c>
      <c r="M11" s="106">
        <f>'B一般'!M11+'B原料'!M11</f>
        <v>10627</v>
      </c>
      <c r="N11" s="106">
        <f>'B一般'!N11+'B原料'!N11</f>
        <v>32500</v>
      </c>
      <c r="O11" s="106">
        <f>'B一般'!O11+'B原料'!O11</f>
        <v>18588</v>
      </c>
      <c r="P11" s="107">
        <f>'B一般'!P11+'B原料'!P11</f>
        <v>16427</v>
      </c>
      <c r="Q11" s="108">
        <f>'B一般'!Q11+'B原料'!Q11</f>
        <v>103510</v>
      </c>
      <c r="R11" s="109">
        <f>'B一般'!R11+'B原料'!R11</f>
        <v>152256</v>
      </c>
      <c r="S11" s="45"/>
    </row>
    <row r="12" spans="1:19" s="46" customFormat="1" ht="13.5" customHeight="1">
      <c r="A12" s="143"/>
      <c r="B12" s="47" t="s">
        <v>28</v>
      </c>
      <c r="C12" s="48" t="s">
        <v>5</v>
      </c>
      <c r="D12" s="105">
        <f>'B一般'!D12+'B原料'!D12</f>
        <v>0</v>
      </c>
      <c r="E12" s="106">
        <f>'B一般'!E12+'B原料'!E12</f>
        <v>0</v>
      </c>
      <c r="F12" s="106">
        <f>'B一般'!F12+'B原料'!F12</f>
        <v>846622</v>
      </c>
      <c r="G12" s="106">
        <f>'B一般'!G12+'B原料'!G12</f>
        <v>84779</v>
      </c>
      <c r="H12" s="106">
        <f>'B一般'!H12+'B原料'!H12</f>
        <v>521382</v>
      </c>
      <c r="I12" s="107">
        <f>'B一般'!I12+'B原料'!I12</f>
        <v>480871</v>
      </c>
      <c r="J12" s="108">
        <f>'B一般'!J12+'B原料'!J12</f>
        <v>1933654</v>
      </c>
      <c r="K12" s="107">
        <f>'B一般'!K12+'B原料'!K12</f>
        <v>272878</v>
      </c>
      <c r="L12" s="106">
        <f>'B一般'!L12+'B原料'!L12</f>
        <v>994918</v>
      </c>
      <c r="M12" s="106">
        <f>'B一般'!M12+'B原料'!M12</f>
        <v>564739</v>
      </c>
      <c r="N12" s="106">
        <f>'B一般'!N12+'B原料'!N12</f>
        <v>1618964</v>
      </c>
      <c r="O12" s="106">
        <f>'B一般'!O12+'B原料'!O12</f>
        <v>820512</v>
      </c>
      <c r="P12" s="107">
        <f>'B一般'!P12+'B原料'!P12</f>
        <v>703760</v>
      </c>
      <c r="Q12" s="108">
        <f>'B一般'!Q12+'B原料'!Q12</f>
        <v>4975771</v>
      </c>
      <c r="R12" s="109">
        <f>'B一般'!R12+'B原料'!R12</f>
        <v>6909425</v>
      </c>
      <c r="S12" s="45"/>
    </row>
    <row r="13" spans="1:19" s="46" customFormat="1" ht="13.5" customHeight="1" thickBot="1">
      <c r="A13" s="144"/>
      <c r="B13" s="20" t="s">
        <v>30</v>
      </c>
      <c r="C13" s="55" t="s">
        <v>6</v>
      </c>
      <c r="D13" s="65">
        <f aca="true" t="shared" si="4" ref="D13:I13">IF(D11=0,,D12/D11*1000)</f>
        <v>0</v>
      </c>
      <c r="E13" s="56">
        <f t="shared" si="4"/>
        <v>0</v>
      </c>
      <c r="F13" s="56">
        <f t="shared" si="4"/>
        <v>40008.60072775389</v>
      </c>
      <c r="G13" s="56">
        <f t="shared" si="4"/>
        <v>37005.23788738542</v>
      </c>
      <c r="H13" s="56">
        <f t="shared" si="4"/>
        <v>38549.50092421442</v>
      </c>
      <c r="I13" s="57">
        <f t="shared" si="4"/>
        <v>40859.121420681455</v>
      </c>
      <c r="J13" s="58">
        <f>(J12/J11)*1000</f>
        <v>39667.95224223526</v>
      </c>
      <c r="K13" s="57">
        <f aca="true" t="shared" si="5" ref="K13:R13">IF(K11=0,,K12/K11*1000)</f>
        <v>45510.006671114075</v>
      </c>
      <c r="L13" s="56">
        <f t="shared" si="5"/>
        <v>51358.5587445798</v>
      </c>
      <c r="M13" s="56">
        <f t="shared" si="5"/>
        <v>53141.90270066811</v>
      </c>
      <c r="N13" s="56">
        <f t="shared" si="5"/>
        <v>49814.276923076926</v>
      </c>
      <c r="O13" s="56">
        <f t="shared" si="5"/>
        <v>44142.02711426727</v>
      </c>
      <c r="P13" s="57">
        <f t="shared" si="5"/>
        <v>42841.663115602365</v>
      </c>
      <c r="Q13" s="58">
        <f t="shared" si="5"/>
        <v>48070.43763887547</v>
      </c>
      <c r="R13" s="59">
        <f t="shared" si="5"/>
        <v>45380.31341950399</v>
      </c>
      <c r="S13" s="60"/>
    </row>
    <row r="14" spans="1:19" s="46" customFormat="1" ht="13.5" customHeight="1">
      <c r="A14" s="142" t="s">
        <v>37</v>
      </c>
      <c r="B14" s="47" t="s">
        <v>26</v>
      </c>
      <c r="C14" s="48" t="s">
        <v>4</v>
      </c>
      <c r="D14" s="49">
        <f>'B一般'!D14+'B原料'!D14</f>
        <v>0</v>
      </c>
      <c r="E14" s="50">
        <f>'B一般'!E14+'B原料'!E14</f>
        <v>0</v>
      </c>
      <c r="F14" s="50">
        <f>'B一般'!F14+'B原料'!F14</f>
        <v>0</v>
      </c>
      <c r="G14" s="50">
        <f>'B一般'!G14+'B原料'!G14</f>
        <v>0</v>
      </c>
      <c r="H14" s="50">
        <f>'B一般'!H14+'B原料'!H14</f>
        <v>0</v>
      </c>
      <c r="I14" s="51">
        <f>'B一般'!I14+'B原料'!I14</f>
        <v>0</v>
      </c>
      <c r="J14" s="52">
        <f>'B一般'!J14+'B原料'!J14</f>
        <v>0</v>
      </c>
      <c r="K14" s="51">
        <f>'B一般'!K14+'B原料'!K14</f>
        <v>0</v>
      </c>
      <c r="L14" s="50">
        <f>'B一般'!L14+'B原料'!L14</f>
        <v>0</v>
      </c>
      <c r="M14" s="106">
        <f>'B一般'!M14+'B原料'!M14</f>
        <v>0</v>
      </c>
      <c r="N14" s="50">
        <f>'B一般'!N14+'B原料'!N14</f>
        <v>0</v>
      </c>
      <c r="O14" s="50">
        <f>'B一般'!O14+'B原料'!O14</f>
        <v>0</v>
      </c>
      <c r="P14" s="51">
        <f>'B一般'!P14+'B原料'!P14</f>
        <v>0</v>
      </c>
      <c r="Q14" s="52">
        <f>'B一般'!Q14+'B原料'!Q14</f>
        <v>0</v>
      </c>
      <c r="R14" s="53">
        <f>'B一般'!R14+'B原料'!R14</f>
        <v>0</v>
      </c>
      <c r="S14" s="45"/>
    </row>
    <row r="15" spans="1:19" s="46" customFormat="1" ht="13.5" customHeight="1">
      <c r="A15" s="143"/>
      <c r="B15" s="47" t="s">
        <v>28</v>
      </c>
      <c r="C15" s="48" t="s">
        <v>5</v>
      </c>
      <c r="D15" s="49">
        <f>'B一般'!D15+'B原料'!D15</f>
        <v>0</v>
      </c>
      <c r="E15" s="50">
        <f>'B一般'!E15+'B原料'!E15</f>
        <v>0</v>
      </c>
      <c r="F15" s="50">
        <f>'B一般'!F15+'B原料'!F15</f>
        <v>0</v>
      </c>
      <c r="G15" s="50">
        <f>'B一般'!G15+'B原料'!G15</f>
        <v>0</v>
      </c>
      <c r="H15" s="50">
        <f>'B一般'!H15+'B原料'!H15</f>
        <v>0</v>
      </c>
      <c r="I15" s="51">
        <f>'B一般'!I15+'B原料'!I15</f>
        <v>0</v>
      </c>
      <c r="J15" s="52">
        <f>'B一般'!J15+'B原料'!J15</f>
        <v>0</v>
      </c>
      <c r="K15" s="51">
        <f>'B一般'!K15+'B原料'!K15</f>
        <v>0</v>
      </c>
      <c r="L15" s="50">
        <f>'B一般'!L15+'B原料'!L15</f>
        <v>0</v>
      </c>
      <c r="M15" s="106">
        <f>'B一般'!M15+'B原料'!M15</f>
        <v>0</v>
      </c>
      <c r="N15" s="50">
        <f>'B一般'!N15+'B原料'!N15</f>
        <v>0</v>
      </c>
      <c r="O15" s="50">
        <f>'B一般'!O15+'B原料'!O15</f>
        <v>0</v>
      </c>
      <c r="P15" s="51">
        <f>'B一般'!P15+'B原料'!P15</f>
        <v>0</v>
      </c>
      <c r="Q15" s="52">
        <f>'B一般'!Q15+'B原料'!Q15</f>
        <v>0</v>
      </c>
      <c r="R15" s="53">
        <f>'B一般'!R15+'B原料'!R15</f>
        <v>0</v>
      </c>
      <c r="S15" s="45"/>
    </row>
    <row r="16" spans="1:19" s="46" customFormat="1" ht="13.5" customHeight="1" thickBot="1">
      <c r="A16" s="144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>IF(F14=0,,F15/F14*1000)</f>
        <v>0</v>
      </c>
      <c r="G16" s="56">
        <f aca="true" t="shared" si="6" ref="G16:R16">IF(G14=0,,G15/G14*1000)</f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7">
        <f t="shared" si="6"/>
        <v>0</v>
      </c>
      <c r="Q16" s="58">
        <f t="shared" si="6"/>
        <v>0</v>
      </c>
      <c r="R16" s="59">
        <f t="shared" si="6"/>
        <v>0</v>
      </c>
      <c r="S16" s="60"/>
    </row>
    <row r="17" spans="1:19" s="46" customFormat="1" ht="13.5" customHeight="1">
      <c r="A17" s="142" t="s">
        <v>39</v>
      </c>
      <c r="B17" s="47" t="s">
        <v>26</v>
      </c>
      <c r="C17" s="48" t="s">
        <v>4</v>
      </c>
      <c r="D17" s="105">
        <f>'B一般'!D17+'B原料'!D17</f>
        <v>14507</v>
      </c>
      <c r="E17" s="106">
        <f>'B一般'!E17+'B原料'!E17</f>
        <v>45336</v>
      </c>
      <c r="F17" s="106">
        <f>'B一般'!F17+'B原料'!F17</f>
        <v>19946</v>
      </c>
      <c r="G17" s="106">
        <f>'B一般'!G17+'B原料'!G17</f>
        <v>5853</v>
      </c>
      <c r="H17" s="106">
        <f>'B一般'!H17+'B原料'!H17</f>
        <v>24211</v>
      </c>
      <c r="I17" s="107">
        <f>'B一般'!I17+'B原料'!I17</f>
        <v>28717</v>
      </c>
      <c r="J17" s="108">
        <f>'B一般'!J17+'B原料'!J17</f>
        <v>138570</v>
      </c>
      <c r="K17" s="107">
        <f>'B一般'!K17+'B原料'!K17</f>
        <v>11873</v>
      </c>
      <c r="L17" s="106">
        <f>'B一般'!L17+'B原料'!L17</f>
        <v>45733</v>
      </c>
      <c r="M17" s="106">
        <f>'B一般'!M17+'B原料'!M17</f>
        <v>41169</v>
      </c>
      <c r="N17" s="106">
        <f>'B一般'!N17+'B原料'!N17</f>
        <v>29421</v>
      </c>
      <c r="O17" s="106">
        <f>'B一般'!O17+'B原料'!O17</f>
        <v>23539</v>
      </c>
      <c r="P17" s="107">
        <f>'B一般'!P17+'B原料'!P17</f>
        <v>72977</v>
      </c>
      <c r="Q17" s="108">
        <f>'B一般'!Q17+'B原料'!Q17</f>
        <v>224712</v>
      </c>
      <c r="R17" s="109">
        <f>'B一般'!R17+'B原料'!R17</f>
        <v>363282</v>
      </c>
      <c r="S17" s="45"/>
    </row>
    <row r="18" spans="1:19" s="46" customFormat="1" ht="13.5" customHeight="1">
      <c r="A18" s="143"/>
      <c r="B18" s="47" t="s">
        <v>28</v>
      </c>
      <c r="C18" s="48" t="s">
        <v>5</v>
      </c>
      <c r="D18" s="105">
        <f>'B一般'!D18+'B原料'!D18</f>
        <v>447618</v>
      </c>
      <c r="E18" s="106">
        <f>'B一般'!E18+'B原料'!E18</f>
        <v>1658506</v>
      </c>
      <c r="F18" s="106">
        <f>'B一般'!F18+'B原料'!F18</f>
        <v>782688</v>
      </c>
      <c r="G18" s="106">
        <f>'B一般'!G18+'B原料'!G18</f>
        <v>240718</v>
      </c>
      <c r="H18" s="106">
        <f>'B一般'!H18+'B原料'!H18</f>
        <v>982776</v>
      </c>
      <c r="I18" s="107">
        <f>'B一般'!I18+'B原料'!I18</f>
        <v>1230956</v>
      </c>
      <c r="J18" s="108">
        <f>'B一般'!J18+'B原料'!J18</f>
        <v>5343262</v>
      </c>
      <c r="K18" s="107">
        <f>'B一般'!K18+'B原料'!K18</f>
        <v>556257</v>
      </c>
      <c r="L18" s="106">
        <f>'B一般'!L18+'B原料'!L18</f>
        <v>2285150</v>
      </c>
      <c r="M18" s="106">
        <f>'B一般'!M18+'B原料'!M18</f>
        <v>2050319</v>
      </c>
      <c r="N18" s="106">
        <f>'B一般'!N18+'B原料'!N18</f>
        <v>1383344</v>
      </c>
      <c r="O18" s="106">
        <f>'B一般'!O18+'B原料'!O18</f>
        <v>1008494</v>
      </c>
      <c r="P18" s="107">
        <f>'B一般'!P18+'B原料'!P18</f>
        <v>3139791</v>
      </c>
      <c r="Q18" s="108">
        <f>'B一般'!Q18+'B原料'!Q18</f>
        <v>10423355</v>
      </c>
      <c r="R18" s="109">
        <f>'B一般'!R18+'B原料'!R18</f>
        <v>15766617</v>
      </c>
      <c r="S18" s="45"/>
    </row>
    <row r="19" spans="1:19" s="46" customFormat="1" ht="13.5" customHeight="1" thickBot="1">
      <c r="A19" s="144"/>
      <c r="B19" s="20" t="s">
        <v>30</v>
      </c>
      <c r="C19" s="55" t="s">
        <v>6</v>
      </c>
      <c r="D19" s="65">
        <f aca="true" t="shared" si="7" ref="D19:I19">IF(D17=0,,D18/D17*1000)</f>
        <v>30855.311229061834</v>
      </c>
      <c r="E19" s="56">
        <f t="shared" si="7"/>
        <v>36582.539262396334</v>
      </c>
      <c r="F19" s="56">
        <f t="shared" si="7"/>
        <v>39240.34894214379</v>
      </c>
      <c r="G19" s="56">
        <f t="shared" si="7"/>
        <v>41127.28515291304</v>
      </c>
      <c r="H19" s="56">
        <f t="shared" si="7"/>
        <v>40592.12754533064</v>
      </c>
      <c r="I19" s="57">
        <f t="shared" si="7"/>
        <v>42865.06250652923</v>
      </c>
      <c r="J19" s="58">
        <f>(J18/J17)*1000</f>
        <v>38560.02020639388</v>
      </c>
      <c r="K19" s="57">
        <f aca="true" t="shared" si="8" ref="K19:R19">IF(K17=0,,K18/K17*1000)</f>
        <v>46850.585361745136</v>
      </c>
      <c r="L19" s="56">
        <f t="shared" si="8"/>
        <v>49967.20092712046</v>
      </c>
      <c r="M19" s="56">
        <f t="shared" si="8"/>
        <v>49802.49702446015</v>
      </c>
      <c r="N19" s="56">
        <f t="shared" si="8"/>
        <v>47018.932055334626</v>
      </c>
      <c r="O19" s="56">
        <f t="shared" si="8"/>
        <v>42843.53625897447</v>
      </c>
      <c r="P19" s="57">
        <f t="shared" si="8"/>
        <v>43024.391246557134</v>
      </c>
      <c r="Q19" s="58">
        <f t="shared" si="8"/>
        <v>46385.395528498695</v>
      </c>
      <c r="R19" s="59">
        <f t="shared" si="8"/>
        <v>43400.49052801955</v>
      </c>
      <c r="S19" s="60"/>
    </row>
    <row r="20" spans="1:19" s="46" customFormat="1" ht="13.5" customHeight="1">
      <c r="A20" s="151" t="s">
        <v>41</v>
      </c>
      <c r="B20" s="47" t="s">
        <v>26</v>
      </c>
      <c r="C20" s="48" t="s">
        <v>4</v>
      </c>
      <c r="D20" s="105">
        <f>'B一般'!D20+'B原料'!D20</f>
        <v>61680</v>
      </c>
      <c r="E20" s="106">
        <f>'B一般'!E20+'B原料'!E20</f>
        <v>58091</v>
      </c>
      <c r="F20" s="106">
        <f>'B一般'!F20+'B原料'!F20</f>
        <v>116410</v>
      </c>
      <c r="G20" s="106">
        <f>'B一般'!G20+'B原料'!G20</f>
        <v>98244</v>
      </c>
      <c r="H20" s="106">
        <f>'B一般'!H20+'B原料'!H20</f>
        <v>106056</v>
      </c>
      <c r="I20" s="107">
        <f>'B一般'!I20+'B原料'!I20</f>
        <v>103376</v>
      </c>
      <c r="J20" s="108">
        <f>'B一般'!J20+'B原料'!J20</f>
        <v>543857</v>
      </c>
      <c r="K20" s="107">
        <f>'B一般'!K20+'B原料'!K20</f>
        <v>26825</v>
      </c>
      <c r="L20" s="106">
        <f>'B一般'!L20+'B原料'!L20</f>
        <v>134550</v>
      </c>
      <c r="M20" s="106">
        <f>'B一般'!M20+'B原料'!M20</f>
        <v>129902</v>
      </c>
      <c r="N20" s="106">
        <f>'B一般'!N20+'B原料'!N20</f>
        <v>37927</v>
      </c>
      <c r="O20" s="106">
        <f>'B一般'!O20+'B原料'!O20</f>
        <v>83368</v>
      </c>
      <c r="P20" s="107">
        <f>'B一般'!P20+'B原料'!P20</f>
        <v>81488</v>
      </c>
      <c r="Q20" s="108">
        <f>'B一般'!Q20+'B原料'!Q20</f>
        <v>494060</v>
      </c>
      <c r="R20" s="109">
        <f>'B一般'!R20+'B原料'!R20</f>
        <v>1037917</v>
      </c>
      <c r="S20" s="45"/>
    </row>
    <row r="21" spans="1:19" s="46" customFormat="1" ht="13.5" customHeight="1">
      <c r="A21" s="152"/>
      <c r="B21" s="47" t="s">
        <v>28</v>
      </c>
      <c r="C21" s="48" t="s">
        <v>5</v>
      </c>
      <c r="D21" s="105">
        <f>'B一般'!D21+'B原料'!D21</f>
        <v>1850906</v>
      </c>
      <c r="E21" s="106">
        <f>'B一般'!E21+'B原料'!E21</f>
        <v>2119028</v>
      </c>
      <c r="F21" s="106">
        <f>'B一般'!F21+'B原料'!F21</f>
        <v>4697428</v>
      </c>
      <c r="G21" s="133">
        <f>'B一般'!G21+'B原料'!G21</f>
        <v>3952008</v>
      </c>
      <c r="H21" s="106">
        <f>'B一般'!H21+'B原料'!H21</f>
        <v>4294043</v>
      </c>
      <c r="I21" s="107">
        <f>'B一般'!I21+'B原料'!I21</f>
        <v>4487849</v>
      </c>
      <c r="J21" s="131">
        <f>'B一般'!J21+'B原料'!J21</f>
        <v>21401262</v>
      </c>
      <c r="K21" s="107">
        <f>'B一般'!K21+'B原料'!K21</f>
        <v>1191308</v>
      </c>
      <c r="L21" s="106">
        <f>'B一般'!L21+'B原料'!L21</f>
        <v>6683641</v>
      </c>
      <c r="M21" s="106">
        <f>'B一般'!M21+'B原料'!M21</f>
        <v>6628283</v>
      </c>
      <c r="N21" s="106">
        <f>'B一般'!N21+'B原料'!N21</f>
        <v>1724198</v>
      </c>
      <c r="O21" s="106">
        <f>'B一般'!O21+'B原料'!O21</f>
        <v>3506425</v>
      </c>
      <c r="P21" s="107">
        <f>'B一般'!P21+'B原料'!P21</f>
        <v>3297146</v>
      </c>
      <c r="Q21" s="108">
        <f>'B一般'!Q21+'B原料'!Q21</f>
        <v>23031001</v>
      </c>
      <c r="R21" s="134">
        <f>'B一般'!R21+'B原料'!R21</f>
        <v>44432263</v>
      </c>
      <c r="S21" s="45"/>
    </row>
    <row r="22" spans="1:19" s="46" customFormat="1" ht="13.5" customHeight="1" thickBot="1">
      <c r="A22" s="153"/>
      <c r="B22" s="20" t="s">
        <v>30</v>
      </c>
      <c r="C22" s="55" t="s">
        <v>6</v>
      </c>
      <c r="D22" s="65">
        <f aca="true" t="shared" si="9" ref="D22:I22">IF(D20=0,,D21/D20*1000)</f>
        <v>30008.20363164721</v>
      </c>
      <c r="E22" s="56">
        <f t="shared" si="9"/>
        <v>36477.73321168511</v>
      </c>
      <c r="F22" s="56">
        <f t="shared" si="9"/>
        <v>40352.44394811442</v>
      </c>
      <c r="G22" s="130">
        <f t="shared" si="9"/>
        <v>40226.45657750092</v>
      </c>
      <c r="H22" s="56">
        <f t="shared" si="9"/>
        <v>40488.44949837821</v>
      </c>
      <c r="I22" s="57">
        <f t="shared" si="9"/>
        <v>43412.87145952639</v>
      </c>
      <c r="J22" s="132">
        <f>(J21/J20)*1000</f>
        <v>39350.899225347835</v>
      </c>
      <c r="K22" s="57">
        <f aca="true" t="shared" si="10" ref="K22:R22">IF(K20=0,,K21/K20*1000)</f>
        <v>44410.363466915194</v>
      </c>
      <c r="L22" s="56">
        <f t="shared" si="10"/>
        <v>49674.03195837978</v>
      </c>
      <c r="M22" s="56">
        <f t="shared" si="10"/>
        <v>51025.25750180906</v>
      </c>
      <c r="N22" s="56">
        <f t="shared" si="10"/>
        <v>45460.96448440425</v>
      </c>
      <c r="O22" s="56">
        <f t="shared" si="10"/>
        <v>42059.60320506669</v>
      </c>
      <c r="P22" s="57">
        <f t="shared" si="10"/>
        <v>40461.73669742785</v>
      </c>
      <c r="Q22" s="58">
        <f t="shared" si="10"/>
        <v>46615.79767639558</v>
      </c>
      <c r="R22" s="135">
        <f t="shared" si="10"/>
        <v>42809.07143827493</v>
      </c>
      <c r="S22" s="60"/>
    </row>
    <row r="23" spans="1:19" s="46" customFormat="1" ht="13.5" customHeight="1">
      <c r="A23" s="142" t="s">
        <v>42</v>
      </c>
      <c r="B23" s="47" t="s">
        <v>26</v>
      </c>
      <c r="C23" s="48" t="s">
        <v>4</v>
      </c>
      <c r="D23" s="105">
        <f>'B一般'!D23+'B原料'!D23</f>
        <v>53416</v>
      </c>
      <c r="E23" s="106">
        <f>'B一般'!E23+'B原料'!E23</f>
        <v>27417</v>
      </c>
      <c r="F23" s="106">
        <f>'B一般'!F23+'B原料'!F23</f>
        <v>39219</v>
      </c>
      <c r="G23" s="106">
        <f>'B一般'!G23+'B原料'!G23</f>
        <v>68010</v>
      </c>
      <c r="H23" s="106">
        <f>'B一般'!H23+'B原料'!H23</f>
        <v>35764</v>
      </c>
      <c r="I23" s="107">
        <f>'B一般'!I23+'B原料'!I23</f>
        <v>36589</v>
      </c>
      <c r="J23" s="108">
        <f>'B一般'!J23+'B原料'!J23</f>
        <v>260415</v>
      </c>
      <c r="K23" s="107">
        <f>'B一般'!K23+'B原料'!K23</f>
        <v>37081</v>
      </c>
      <c r="L23" s="106">
        <f>'B一般'!L23+'B原料'!L23</f>
        <v>60523</v>
      </c>
      <c r="M23" s="106">
        <f>'B一般'!M23+'B原料'!M23</f>
        <v>66328</v>
      </c>
      <c r="N23" s="106">
        <f>'B一般'!N23+'B原料'!N23</f>
        <v>26655</v>
      </c>
      <c r="O23" s="106">
        <f>'B一般'!O23+'B原料'!O23</f>
        <v>46831</v>
      </c>
      <c r="P23" s="107">
        <f>'B一般'!P23+'B原料'!P23</f>
        <v>55048</v>
      </c>
      <c r="Q23" s="108">
        <f>'B一般'!Q23+'B原料'!Q23</f>
        <v>292466</v>
      </c>
      <c r="R23" s="109">
        <f>'B一般'!R23+'B原料'!R23</f>
        <v>552881</v>
      </c>
      <c r="S23" s="45"/>
    </row>
    <row r="24" spans="1:19" s="46" customFormat="1" ht="13.5" customHeight="1">
      <c r="A24" s="143"/>
      <c r="B24" s="47" t="s">
        <v>28</v>
      </c>
      <c r="C24" s="48" t="s">
        <v>5</v>
      </c>
      <c r="D24" s="105">
        <f>'B一般'!D24+'B原料'!D24</f>
        <v>1747981</v>
      </c>
      <c r="E24" s="106">
        <f>'B一般'!E24+'B原料'!E24</f>
        <v>986484</v>
      </c>
      <c r="F24" s="106">
        <f>'B一般'!F24+'B原料'!F24</f>
        <v>1525119</v>
      </c>
      <c r="G24" s="106">
        <f>'B一般'!G24+'B原料'!G24</f>
        <v>2769286</v>
      </c>
      <c r="H24" s="106">
        <f>'B一般'!H24+'B原料'!H24</f>
        <v>1480819</v>
      </c>
      <c r="I24" s="107">
        <f>'B一般'!I24+'B原料'!I24</f>
        <v>1581862</v>
      </c>
      <c r="J24" s="108">
        <f>'B一般'!J24+'B原料'!J24</f>
        <v>10091551</v>
      </c>
      <c r="K24" s="107">
        <f>'B一般'!K24+'B原料'!K24</f>
        <v>1713960</v>
      </c>
      <c r="L24" s="106">
        <f>'B一般'!L24+'B原料'!L24</f>
        <v>2926209</v>
      </c>
      <c r="M24" s="106">
        <f>'B一般'!M24+'B原料'!M24</f>
        <v>3399542</v>
      </c>
      <c r="N24" s="106">
        <f>'B一般'!N24+'B原料'!N24</f>
        <v>1096130</v>
      </c>
      <c r="O24" s="106">
        <f>'B一般'!O24+'B原料'!O24</f>
        <v>1978570</v>
      </c>
      <c r="P24" s="107">
        <f>'B一般'!P24+'B原料'!P24</f>
        <v>2381939</v>
      </c>
      <c r="Q24" s="108">
        <f>'B一般'!Q24+'B原料'!Q24</f>
        <v>13496350</v>
      </c>
      <c r="R24" s="109">
        <f>'B一般'!R24+'B原料'!R24</f>
        <v>23587901</v>
      </c>
      <c r="S24" s="45"/>
    </row>
    <row r="25" spans="1:19" s="46" customFormat="1" ht="13.5" customHeight="1" thickBot="1">
      <c r="A25" s="144"/>
      <c r="B25" s="20" t="s">
        <v>30</v>
      </c>
      <c r="C25" s="55" t="s">
        <v>6</v>
      </c>
      <c r="D25" s="65">
        <f aca="true" t="shared" si="11" ref="D25:I25">IF(D23=0,,D24/D23*1000)</f>
        <v>32723.921671409316</v>
      </c>
      <c r="E25" s="56">
        <f t="shared" si="11"/>
        <v>35980.74187547872</v>
      </c>
      <c r="F25" s="56">
        <f t="shared" si="11"/>
        <v>38887.248527499425</v>
      </c>
      <c r="G25" s="56">
        <f t="shared" si="11"/>
        <v>40718.80605793266</v>
      </c>
      <c r="H25" s="56">
        <f t="shared" si="11"/>
        <v>41405.295828207134</v>
      </c>
      <c r="I25" s="57">
        <f t="shared" si="11"/>
        <v>43233.26682882833</v>
      </c>
      <c r="J25" s="58">
        <f>(J24/J23)*1000</f>
        <v>38751.80385154465</v>
      </c>
      <c r="K25" s="57">
        <f aca="true" t="shared" si="12" ref="K25:R25">IF(K23=0,,K24/K23*1000)</f>
        <v>46222.054421401794</v>
      </c>
      <c r="L25" s="56">
        <f t="shared" si="12"/>
        <v>48348.71040761364</v>
      </c>
      <c r="M25" s="56">
        <f t="shared" si="12"/>
        <v>51253.49776866481</v>
      </c>
      <c r="N25" s="56">
        <f t="shared" si="12"/>
        <v>41122.86625398612</v>
      </c>
      <c r="O25" s="56">
        <f t="shared" si="12"/>
        <v>42249.1512032628</v>
      </c>
      <c r="P25" s="57">
        <f t="shared" si="12"/>
        <v>43270.218718209566</v>
      </c>
      <c r="Q25" s="58">
        <f t="shared" si="12"/>
        <v>46146.73158589374</v>
      </c>
      <c r="R25" s="59">
        <f t="shared" si="12"/>
        <v>42663.6129655387</v>
      </c>
      <c r="S25" s="60"/>
    </row>
    <row r="26" spans="1:19" s="46" customFormat="1" ht="13.5" customHeight="1">
      <c r="A26" s="142" t="s">
        <v>44</v>
      </c>
      <c r="B26" s="47" t="s">
        <v>26</v>
      </c>
      <c r="C26" s="48" t="s">
        <v>4</v>
      </c>
      <c r="D26" s="105">
        <f>'B一般'!D26+'B原料'!D26</f>
        <v>44316</v>
      </c>
      <c r="E26" s="106">
        <f>'B一般'!E26+'B原料'!E26</f>
        <v>11877</v>
      </c>
      <c r="F26" s="106">
        <f>'B一般'!F26+'B原料'!F26</f>
        <v>10384</v>
      </c>
      <c r="G26" s="106">
        <f>'B一般'!G26+'B原料'!G26</f>
        <v>13146</v>
      </c>
      <c r="H26" s="106">
        <f>'B一般'!H26+'B原料'!H26</f>
        <v>52683</v>
      </c>
      <c r="I26" s="107">
        <f>'B一般'!I26+'B原料'!I26</f>
        <v>44927</v>
      </c>
      <c r="J26" s="108">
        <f>'B一般'!J26+'B原料'!J26</f>
        <v>177333</v>
      </c>
      <c r="K26" s="107">
        <f>'B一般'!K26+'B原料'!K26</f>
        <v>43710</v>
      </c>
      <c r="L26" s="106">
        <f>'B一般'!L26+'B原料'!L26</f>
        <v>33020</v>
      </c>
      <c r="M26" s="106">
        <f>'B一般'!M26+'B原料'!M26</f>
        <v>21770</v>
      </c>
      <c r="N26" s="106">
        <f>'B一般'!N26+'B原料'!N26</f>
        <v>32304</v>
      </c>
      <c r="O26" s="106">
        <f>'B一般'!O26+'B原料'!O26</f>
        <v>50529</v>
      </c>
      <c r="P26" s="107">
        <f>'B一般'!P26+'B原料'!P26</f>
        <v>32184</v>
      </c>
      <c r="Q26" s="108">
        <f>'B一般'!Q26+'B原料'!Q26</f>
        <v>213517</v>
      </c>
      <c r="R26" s="109">
        <f>'B一般'!R26+'B原料'!R26</f>
        <v>390850</v>
      </c>
      <c r="S26" s="45"/>
    </row>
    <row r="27" spans="1:19" s="46" customFormat="1" ht="13.5" customHeight="1">
      <c r="A27" s="143"/>
      <c r="B27" s="47" t="s">
        <v>28</v>
      </c>
      <c r="C27" s="48" t="s">
        <v>5</v>
      </c>
      <c r="D27" s="105">
        <f>'B一般'!D27+'B原料'!D27</f>
        <v>1477322</v>
      </c>
      <c r="E27" s="106">
        <f>'B一般'!E27+'B原料'!E27</f>
        <v>432996</v>
      </c>
      <c r="F27" s="106">
        <f>'B一般'!F27+'B原料'!F27</f>
        <v>391954</v>
      </c>
      <c r="G27" s="106">
        <f>'B一般'!G27+'B原料'!G27</f>
        <v>563952</v>
      </c>
      <c r="H27" s="106">
        <f>'B一般'!H27+'B原料'!H27</f>
        <v>2118563</v>
      </c>
      <c r="I27" s="107">
        <f>'B一般'!I27+'B原料'!I27</f>
        <v>1894544</v>
      </c>
      <c r="J27" s="108">
        <f>'B一般'!J27+'B原料'!J27</f>
        <v>6879331</v>
      </c>
      <c r="K27" s="107">
        <f>'B一般'!K27+'B原料'!K27</f>
        <v>1981191</v>
      </c>
      <c r="L27" s="106">
        <f>'B一般'!L27+'B原料'!L27</f>
        <v>1691517</v>
      </c>
      <c r="M27" s="106">
        <f>'B一般'!M27+'B原料'!M27</f>
        <v>1092842</v>
      </c>
      <c r="N27" s="106">
        <f>'B一般'!N27+'B原料'!N27</f>
        <v>1506360</v>
      </c>
      <c r="O27" s="106">
        <f>'B一般'!O27+'B原料'!O27</f>
        <v>2137692</v>
      </c>
      <c r="P27" s="107">
        <f>'B一般'!P27+'B原料'!P27</f>
        <v>1398701</v>
      </c>
      <c r="Q27" s="108">
        <f>'B一般'!Q27+'B原料'!Q27</f>
        <v>9808303</v>
      </c>
      <c r="R27" s="109">
        <f>'B一般'!R27+'B原料'!R27</f>
        <v>16687634</v>
      </c>
      <c r="S27" s="45"/>
    </row>
    <row r="28" spans="1:19" s="46" customFormat="1" ht="13.5" customHeight="1" thickBot="1">
      <c r="A28" s="144"/>
      <c r="B28" s="20" t="s">
        <v>30</v>
      </c>
      <c r="C28" s="55" t="s">
        <v>6</v>
      </c>
      <c r="D28" s="65">
        <f aca="true" t="shared" si="13" ref="D28:I28">IF(D26=0,,D27/D26*1000)</f>
        <v>33336.0862893763</v>
      </c>
      <c r="E28" s="56">
        <f t="shared" si="13"/>
        <v>36456.68098004547</v>
      </c>
      <c r="F28" s="56">
        <f t="shared" si="13"/>
        <v>37745.95531587057</v>
      </c>
      <c r="G28" s="56">
        <f t="shared" si="13"/>
        <v>42899.13281606572</v>
      </c>
      <c r="H28" s="56">
        <f t="shared" si="13"/>
        <v>40213.4084998956</v>
      </c>
      <c r="I28" s="57">
        <f t="shared" si="13"/>
        <v>42169.38589267033</v>
      </c>
      <c r="J28" s="58">
        <f>(J27/J26)*1000</f>
        <v>38793.29284453542</v>
      </c>
      <c r="K28" s="57">
        <f aca="true" t="shared" si="14" ref="K28:R28">IF(K26=0,,K27/K26*1000)</f>
        <v>45325.80645161291</v>
      </c>
      <c r="L28" s="56">
        <f t="shared" si="14"/>
        <v>51227.04421562689</v>
      </c>
      <c r="M28" s="56">
        <f t="shared" si="14"/>
        <v>50199.44878272853</v>
      </c>
      <c r="N28" s="56">
        <f t="shared" si="14"/>
        <v>46630.75780089153</v>
      </c>
      <c r="O28" s="56">
        <f t="shared" si="14"/>
        <v>42306.239981001</v>
      </c>
      <c r="P28" s="57">
        <f t="shared" si="14"/>
        <v>43459.51404424559</v>
      </c>
      <c r="Q28" s="58">
        <f t="shared" si="14"/>
        <v>45936.87153716097</v>
      </c>
      <c r="R28" s="59">
        <f t="shared" si="14"/>
        <v>42695.750287834206</v>
      </c>
      <c r="S28" s="60"/>
    </row>
    <row r="29" spans="1:19" s="46" customFormat="1" ht="13.5" customHeight="1">
      <c r="A29" s="142" t="s">
        <v>46</v>
      </c>
      <c r="B29" s="47" t="s">
        <v>26</v>
      </c>
      <c r="C29" s="48" t="s">
        <v>4</v>
      </c>
      <c r="D29" s="105">
        <f>'B一般'!D29+'B原料'!D29</f>
        <v>510</v>
      </c>
      <c r="E29" s="106">
        <f>'B一般'!E29+'B原料'!E29</f>
        <v>545</v>
      </c>
      <c r="F29" s="106">
        <f>'B一般'!F29+'B原料'!F29</f>
        <v>426</v>
      </c>
      <c r="G29" s="106">
        <f>'B一般'!G29+'B原料'!G29</f>
        <v>1077</v>
      </c>
      <c r="H29" s="106">
        <f>'B一般'!H29+'B原料'!H29</f>
        <v>1786</v>
      </c>
      <c r="I29" s="107">
        <f>'B一般'!I29+'B原料'!I29</f>
        <v>1132</v>
      </c>
      <c r="J29" s="108">
        <f>'B一般'!J29+'B原料'!J29</f>
        <v>5476</v>
      </c>
      <c r="K29" s="107">
        <f>'B一般'!K29+'B原料'!K29</f>
        <v>1177</v>
      </c>
      <c r="L29" s="106">
        <f>'B一般'!L29+'B原料'!L29</f>
        <v>3231</v>
      </c>
      <c r="M29" s="106">
        <f>'B一般'!M29+'B原料'!M29</f>
        <v>1231</v>
      </c>
      <c r="N29" s="106">
        <f>'B一般'!N29+'B原料'!N29</f>
        <v>655</v>
      </c>
      <c r="O29" s="106">
        <f>'B一般'!O29+'B原料'!O29</f>
        <v>346</v>
      </c>
      <c r="P29" s="107">
        <f>'B一般'!P29+'B原料'!P29</f>
        <v>611</v>
      </c>
      <c r="Q29" s="108">
        <f>'B一般'!Q29+'B原料'!Q29</f>
        <v>7251</v>
      </c>
      <c r="R29" s="109">
        <f>'B一般'!R29+'B原料'!R29</f>
        <v>12727</v>
      </c>
      <c r="S29" s="45"/>
    </row>
    <row r="30" spans="1:19" s="46" customFormat="1" ht="13.5" customHeight="1">
      <c r="A30" s="143"/>
      <c r="B30" s="47" t="s">
        <v>28</v>
      </c>
      <c r="C30" s="48" t="s">
        <v>5</v>
      </c>
      <c r="D30" s="105">
        <f>'B一般'!D30+'B原料'!D30</f>
        <v>96071</v>
      </c>
      <c r="E30" s="106">
        <f>'B一般'!E30+'B原料'!E30</f>
        <v>104686</v>
      </c>
      <c r="F30" s="106">
        <f>'B一般'!F30+'B原料'!F30</f>
        <v>83668</v>
      </c>
      <c r="G30" s="106">
        <f>'B一般'!G30+'B原料'!G30</f>
        <v>204173</v>
      </c>
      <c r="H30" s="106">
        <f>'B一般'!H30+'B原料'!H30</f>
        <v>245828</v>
      </c>
      <c r="I30" s="107">
        <f>'B一般'!I30+'B原料'!I30</f>
        <v>237170</v>
      </c>
      <c r="J30" s="108">
        <f>'B一般'!J30+'B原料'!J30</f>
        <v>971596</v>
      </c>
      <c r="K30" s="107">
        <f>'B一般'!K30+'B原料'!K30</f>
        <v>235963</v>
      </c>
      <c r="L30" s="106">
        <f>'B一般'!L30+'B原料'!L30</f>
        <v>432527</v>
      </c>
      <c r="M30" s="106">
        <f>'B一般'!M30+'B原料'!M30</f>
        <v>263143</v>
      </c>
      <c r="N30" s="106">
        <f>'B一般'!N30+'B原料'!N30</f>
        <v>139034</v>
      </c>
      <c r="O30" s="106">
        <f>'B一般'!O30+'B原料'!O30</f>
        <v>73715</v>
      </c>
      <c r="P30" s="107">
        <f>'B一般'!P30+'B原料'!P30</f>
        <v>125458</v>
      </c>
      <c r="Q30" s="108">
        <f>'B一般'!Q30+'B原料'!Q30</f>
        <v>1269840</v>
      </c>
      <c r="R30" s="109">
        <f>'B一般'!R30+'B原料'!R30</f>
        <v>2241436</v>
      </c>
      <c r="S30" s="45"/>
    </row>
    <row r="31" spans="1:19" s="46" customFormat="1" ht="13.5" customHeight="1" thickBot="1">
      <c r="A31" s="144"/>
      <c r="B31" s="20" t="s">
        <v>30</v>
      </c>
      <c r="C31" s="55" t="s">
        <v>6</v>
      </c>
      <c r="D31" s="65">
        <f aca="true" t="shared" si="15" ref="D31:I31">IF(D29=0,,D30/D29*1000)</f>
        <v>188374.50980392157</v>
      </c>
      <c r="E31" s="56">
        <f t="shared" si="15"/>
        <v>192084.40366972476</v>
      </c>
      <c r="F31" s="56">
        <f t="shared" si="15"/>
        <v>196403.7558685446</v>
      </c>
      <c r="G31" s="56">
        <f t="shared" si="15"/>
        <v>189575.6731662024</v>
      </c>
      <c r="H31" s="56">
        <f t="shared" si="15"/>
        <v>137641.65733482642</v>
      </c>
      <c r="I31" s="57">
        <f t="shared" si="15"/>
        <v>209514.1342756184</v>
      </c>
      <c r="J31" s="58">
        <f>(J30/J29)*1000</f>
        <v>177428.04967129292</v>
      </c>
      <c r="K31" s="57">
        <f aca="true" t="shared" si="16" ref="K31:R31">IF(K29=0,,K30/K29*1000)</f>
        <v>200478.33474936278</v>
      </c>
      <c r="L31" s="56">
        <f t="shared" si="16"/>
        <v>133867.84277313526</v>
      </c>
      <c r="M31" s="56">
        <f t="shared" si="16"/>
        <v>213763.60682372056</v>
      </c>
      <c r="N31" s="56">
        <f t="shared" si="16"/>
        <v>212265.64885496182</v>
      </c>
      <c r="O31" s="56">
        <f t="shared" si="16"/>
        <v>213049.13294797688</v>
      </c>
      <c r="P31" s="57">
        <f t="shared" si="16"/>
        <v>205332.24222585926</v>
      </c>
      <c r="Q31" s="58">
        <f t="shared" si="16"/>
        <v>175126.18949110465</v>
      </c>
      <c r="R31" s="59">
        <f t="shared" si="16"/>
        <v>176116.60249862497</v>
      </c>
      <c r="S31" s="60"/>
    </row>
    <row r="32" spans="1:19" s="46" customFormat="1" ht="13.5" customHeight="1">
      <c r="A32" s="142" t="s">
        <v>48</v>
      </c>
      <c r="B32" s="47" t="s">
        <v>26</v>
      </c>
      <c r="C32" s="48" t="s">
        <v>4</v>
      </c>
      <c r="D32" s="49">
        <f>'B一般'!D32+'B原料'!D32</f>
        <v>0</v>
      </c>
      <c r="E32" s="50">
        <f>'B一般'!E32+'B原料'!E32</f>
        <v>0</v>
      </c>
      <c r="F32" s="50">
        <f>'B一般'!F32+'B原料'!F32</f>
        <v>0</v>
      </c>
      <c r="G32" s="50">
        <f>'B一般'!G32+'B原料'!G32</f>
        <v>0</v>
      </c>
      <c r="H32" s="50">
        <f>'B一般'!H32+'B原料'!H32</f>
        <v>0</v>
      </c>
      <c r="I32" s="51">
        <f>'B一般'!I32+'B原料'!I32</f>
        <v>0</v>
      </c>
      <c r="J32" s="52">
        <f>'B一般'!J32+'B原料'!J32</f>
        <v>0</v>
      </c>
      <c r="K32" s="51">
        <f>'B一般'!K32+'B原料'!K32</f>
        <v>0</v>
      </c>
      <c r="L32" s="50">
        <f>'B一般'!L32+'B原料'!L32</f>
        <v>0</v>
      </c>
      <c r="M32" s="106">
        <f>'B一般'!M32+'B原料'!M32</f>
        <v>0</v>
      </c>
      <c r="N32" s="50">
        <f>'B一般'!N32+'B原料'!N32</f>
        <v>0</v>
      </c>
      <c r="O32" s="50">
        <f>'B一般'!O32+'B原料'!O32</f>
        <v>0</v>
      </c>
      <c r="P32" s="51">
        <f>'B一般'!P32+'B原料'!P32</f>
        <v>0</v>
      </c>
      <c r="Q32" s="52">
        <f>'B一般'!Q32+'B原料'!Q32</f>
        <v>0</v>
      </c>
      <c r="R32" s="53">
        <f>'B一般'!R32+'B原料'!R32</f>
        <v>0</v>
      </c>
      <c r="S32" s="45"/>
    </row>
    <row r="33" spans="1:19" s="46" customFormat="1" ht="13.5" customHeight="1">
      <c r="A33" s="143"/>
      <c r="B33" s="47" t="s">
        <v>28</v>
      </c>
      <c r="C33" s="48" t="s">
        <v>5</v>
      </c>
      <c r="D33" s="49">
        <f>'B一般'!D33+'B原料'!D33</f>
        <v>0</v>
      </c>
      <c r="E33" s="50">
        <f>'B一般'!E33+'B原料'!E33</f>
        <v>0</v>
      </c>
      <c r="F33" s="50">
        <f>'B一般'!F33+'B原料'!F33</f>
        <v>0</v>
      </c>
      <c r="G33" s="50">
        <f>'B一般'!G33+'B原料'!G33</f>
        <v>0</v>
      </c>
      <c r="H33" s="50">
        <f>'B一般'!H33+'B原料'!H33</f>
        <v>0</v>
      </c>
      <c r="I33" s="51">
        <f>'B一般'!I33+'B原料'!I33</f>
        <v>0</v>
      </c>
      <c r="J33" s="52">
        <f>'B一般'!J33+'B原料'!J33</f>
        <v>0</v>
      </c>
      <c r="K33" s="51">
        <f>'B一般'!K33+'B原料'!K33</f>
        <v>0</v>
      </c>
      <c r="L33" s="50">
        <f>'B一般'!L33+'B原料'!L33</f>
        <v>0</v>
      </c>
      <c r="M33" s="106">
        <f>'B一般'!M33+'B原料'!M33</f>
        <v>0</v>
      </c>
      <c r="N33" s="50">
        <f>'B一般'!N33+'B原料'!N33</f>
        <v>0</v>
      </c>
      <c r="O33" s="50">
        <f>'B一般'!O33+'B原料'!O33</f>
        <v>0</v>
      </c>
      <c r="P33" s="51">
        <f>'B一般'!P33+'B原料'!P33</f>
        <v>0</v>
      </c>
      <c r="Q33" s="52">
        <f>'B一般'!Q33+'B原料'!Q33</f>
        <v>0</v>
      </c>
      <c r="R33" s="53">
        <f>'B一般'!R33+'B原料'!R33</f>
        <v>0</v>
      </c>
      <c r="S33" s="45"/>
    </row>
    <row r="34" spans="1:19" s="46" customFormat="1" ht="13.5" customHeight="1" thickBot="1">
      <c r="A34" s="144"/>
      <c r="B34" s="20" t="s">
        <v>30</v>
      </c>
      <c r="C34" s="55" t="s">
        <v>6</v>
      </c>
      <c r="D34" s="65">
        <f aca="true" t="shared" si="17" ref="D34:J34">IF(D32=0,,D33/D32*1000)</f>
        <v>0</v>
      </c>
      <c r="E34" s="56">
        <f t="shared" si="17"/>
        <v>0</v>
      </c>
      <c r="F34" s="56">
        <f t="shared" si="17"/>
        <v>0</v>
      </c>
      <c r="G34" s="56">
        <f t="shared" si="17"/>
        <v>0</v>
      </c>
      <c r="H34" s="56">
        <f t="shared" si="17"/>
        <v>0</v>
      </c>
      <c r="I34" s="57">
        <f t="shared" si="17"/>
        <v>0</v>
      </c>
      <c r="J34" s="58">
        <f t="shared" si="17"/>
        <v>0</v>
      </c>
      <c r="K34" s="57">
        <f aca="true" t="shared" si="18" ref="K34:R34">IF(K32=0,,K33/K32*1000)</f>
        <v>0</v>
      </c>
      <c r="L34" s="56">
        <f t="shared" si="18"/>
        <v>0</v>
      </c>
      <c r="M34" s="56">
        <f t="shared" si="18"/>
        <v>0</v>
      </c>
      <c r="N34" s="56">
        <f t="shared" si="18"/>
        <v>0</v>
      </c>
      <c r="O34" s="56">
        <f t="shared" si="18"/>
        <v>0</v>
      </c>
      <c r="P34" s="57">
        <f t="shared" si="18"/>
        <v>0</v>
      </c>
      <c r="Q34" s="58">
        <f t="shared" si="18"/>
        <v>0</v>
      </c>
      <c r="R34" s="59">
        <f t="shared" si="18"/>
        <v>0</v>
      </c>
      <c r="S34" s="60"/>
    </row>
    <row r="35" spans="1:19" s="46" customFormat="1" ht="13.5" customHeight="1">
      <c r="A35" s="142" t="s">
        <v>50</v>
      </c>
      <c r="B35" s="47" t="s">
        <v>26</v>
      </c>
      <c r="C35" s="48" t="s">
        <v>4</v>
      </c>
      <c r="D35" s="49">
        <f>'B一般'!D35+'B原料'!D35</f>
        <v>0</v>
      </c>
      <c r="E35" s="50">
        <f>'B一般'!E35+'B原料'!E35</f>
        <v>6255</v>
      </c>
      <c r="F35" s="106">
        <f>'B一般'!F35+'B原料'!F35</f>
        <v>10008</v>
      </c>
      <c r="G35" s="106">
        <f>'B一般'!G35+'B原料'!G35</f>
        <v>0</v>
      </c>
      <c r="H35" s="106">
        <f>'B一般'!H35+'B原料'!H35</f>
        <v>0</v>
      </c>
      <c r="I35" s="107">
        <f>'B一般'!I35+'B原料'!I35</f>
        <v>0</v>
      </c>
      <c r="J35" s="108">
        <f>'B一般'!J35+'B原料'!J35</f>
        <v>16263</v>
      </c>
      <c r="K35" s="107">
        <f>'B一般'!K35+'B原料'!K35</f>
        <v>0</v>
      </c>
      <c r="L35" s="106">
        <f>'B一般'!L35+'B原料'!L35</f>
        <v>16741</v>
      </c>
      <c r="M35" s="106">
        <f>'B一般'!M35+'B原料'!M35</f>
        <v>0</v>
      </c>
      <c r="N35" s="106">
        <f>'B一般'!N35+'B原料'!N35</f>
        <v>0</v>
      </c>
      <c r="O35" s="106">
        <f>'B一般'!O35+'B原料'!O35</f>
        <v>11846</v>
      </c>
      <c r="P35" s="107">
        <f>'B一般'!P35+'B原料'!P35</f>
        <v>0</v>
      </c>
      <c r="Q35" s="108">
        <f>'B一般'!Q35+'B原料'!Q35</f>
        <v>28587</v>
      </c>
      <c r="R35" s="109">
        <f>'B一般'!R35+'B原料'!R35</f>
        <v>44850</v>
      </c>
      <c r="S35" s="45"/>
    </row>
    <row r="36" spans="1:19" s="46" customFormat="1" ht="13.5" customHeight="1">
      <c r="A36" s="143"/>
      <c r="B36" s="47" t="s">
        <v>28</v>
      </c>
      <c r="C36" s="48" t="s">
        <v>5</v>
      </c>
      <c r="D36" s="49">
        <f>'B一般'!D36+'B原料'!D36</f>
        <v>0</v>
      </c>
      <c r="E36" s="50">
        <f>'B一般'!E36+'B原料'!E36</f>
        <v>251627</v>
      </c>
      <c r="F36" s="106">
        <f>'B一般'!F36+'B原料'!F36</f>
        <v>426039</v>
      </c>
      <c r="G36" s="106">
        <f>'B一般'!G36+'B原料'!G36</f>
        <v>0</v>
      </c>
      <c r="H36" s="106">
        <f>'B一般'!H36+'B原料'!H36</f>
        <v>0</v>
      </c>
      <c r="I36" s="107">
        <f>'B一般'!I36+'B原料'!I36</f>
        <v>0</v>
      </c>
      <c r="J36" s="108">
        <f>'B一般'!J36+'B原料'!J36</f>
        <v>677666</v>
      </c>
      <c r="K36" s="107">
        <f>'B一般'!K36+'B原料'!K36</f>
        <v>0</v>
      </c>
      <c r="L36" s="106">
        <f>'B一般'!L36+'B原料'!L36</f>
        <v>787533</v>
      </c>
      <c r="M36" s="106">
        <f>'B一般'!M36+'B原料'!M36</f>
        <v>0</v>
      </c>
      <c r="N36" s="106">
        <f>'B一般'!N36+'B原料'!N36</f>
        <v>0</v>
      </c>
      <c r="O36" s="106">
        <f>'B一般'!O36+'B原料'!O36</f>
        <v>502864</v>
      </c>
      <c r="P36" s="107">
        <f>'B一般'!P36+'B原料'!P36</f>
        <v>0</v>
      </c>
      <c r="Q36" s="108">
        <f>'B一般'!Q36+'B原料'!Q36</f>
        <v>1290397</v>
      </c>
      <c r="R36" s="109">
        <f>'B一般'!R36+'B原料'!R36</f>
        <v>1968063</v>
      </c>
      <c r="S36" s="45"/>
    </row>
    <row r="37" spans="1:19" s="46" customFormat="1" ht="13.5" customHeight="1" thickBot="1">
      <c r="A37" s="144"/>
      <c r="B37" s="20" t="s">
        <v>30</v>
      </c>
      <c r="C37" s="55" t="s">
        <v>6</v>
      </c>
      <c r="D37" s="65">
        <f aca="true" t="shared" si="19" ref="D37:I37">IF(D35=0,,D36/D35*1000)</f>
        <v>0</v>
      </c>
      <c r="E37" s="56">
        <f t="shared" si="19"/>
        <v>40228.137490008</v>
      </c>
      <c r="F37" s="56">
        <f t="shared" si="19"/>
        <v>42569.84412470024</v>
      </c>
      <c r="G37" s="56">
        <f t="shared" si="19"/>
        <v>0</v>
      </c>
      <c r="H37" s="56">
        <f t="shared" si="19"/>
        <v>0</v>
      </c>
      <c r="I37" s="57">
        <f t="shared" si="19"/>
        <v>0</v>
      </c>
      <c r="J37" s="58">
        <f>(J36/J35)*1000</f>
        <v>41669.187726741686</v>
      </c>
      <c r="K37" s="57">
        <f aca="true" t="shared" si="20" ref="K37:R37">IF(K35=0,,K36/K35*1000)</f>
        <v>0</v>
      </c>
      <c r="L37" s="56">
        <f t="shared" si="20"/>
        <v>47042.17191326683</v>
      </c>
      <c r="M37" s="56">
        <f t="shared" si="20"/>
        <v>0</v>
      </c>
      <c r="N37" s="56">
        <f t="shared" si="20"/>
        <v>0</v>
      </c>
      <c r="O37" s="56">
        <f t="shared" si="20"/>
        <v>42450.10974168495</v>
      </c>
      <c r="P37" s="57">
        <f t="shared" si="20"/>
        <v>0</v>
      </c>
      <c r="Q37" s="58">
        <f t="shared" si="20"/>
        <v>45139.29408472382</v>
      </c>
      <c r="R37" s="59">
        <f t="shared" si="20"/>
        <v>43881.00334448161</v>
      </c>
      <c r="S37" s="60"/>
    </row>
    <row r="38" spans="1:19" s="46" customFormat="1" ht="13.5" customHeight="1">
      <c r="A38" s="142" t="s">
        <v>52</v>
      </c>
      <c r="B38" s="47" t="s">
        <v>26</v>
      </c>
      <c r="C38" s="48" t="s">
        <v>4</v>
      </c>
      <c r="D38" s="105">
        <f>'B一般'!D38+'B原料'!D38</f>
        <v>40</v>
      </c>
      <c r="E38" s="106">
        <f>'B一般'!E38+'B原料'!E38</f>
        <v>22072</v>
      </c>
      <c r="F38" s="106">
        <f>'B一般'!F38+'B原料'!F38</f>
        <v>9938</v>
      </c>
      <c r="G38" s="106">
        <f>'B一般'!G38+'B原料'!G38</f>
        <v>4221</v>
      </c>
      <c r="H38" s="133">
        <f>'B一般'!H38+'B原料'!H38</f>
        <v>44571</v>
      </c>
      <c r="I38" s="107">
        <f>'B一般'!I38+'B原料'!I38</f>
        <v>200</v>
      </c>
      <c r="J38" s="131">
        <f>'B一般'!J38+'B原料'!J38</f>
        <v>81042</v>
      </c>
      <c r="K38" s="107">
        <f>'B一般'!K38+'B原料'!K38</f>
        <v>28560</v>
      </c>
      <c r="L38" s="133">
        <f>'B一般'!L38+'B原料'!L38</f>
        <v>10681</v>
      </c>
      <c r="M38" s="106">
        <f>'B一般'!M38+'B原料'!M38</f>
        <v>289</v>
      </c>
      <c r="N38" s="106">
        <f>'B一般'!N38+'B原料'!N38</f>
        <v>366</v>
      </c>
      <c r="O38" s="106">
        <f>'B一般'!O38+'B原料'!O38</f>
        <v>19095</v>
      </c>
      <c r="P38" s="107">
        <f>'B一般'!P38+'B原料'!P38</f>
        <v>69</v>
      </c>
      <c r="Q38" s="131">
        <f>'B一般'!Q38+'B原料'!Q38</f>
        <v>59060</v>
      </c>
      <c r="R38" s="134">
        <f>'B一般'!R38+'B原料'!R38</f>
        <v>140102</v>
      </c>
      <c r="S38" s="45"/>
    </row>
    <row r="39" spans="1:19" s="46" customFormat="1" ht="13.5" customHeight="1">
      <c r="A39" s="143"/>
      <c r="B39" s="47" t="s">
        <v>28</v>
      </c>
      <c r="C39" s="48" t="s">
        <v>5</v>
      </c>
      <c r="D39" s="105">
        <f>'B一般'!D39+'B原料'!D39</f>
        <v>18458</v>
      </c>
      <c r="E39" s="106">
        <f>'B一般'!E39+'B原料'!E39</f>
        <v>861131</v>
      </c>
      <c r="F39" s="106">
        <f>'B一般'!F39+'B原料'!F39</f>
        <v>401526</v>
      </c>
      <c r="G39" s="106">
        <f>'B一般'!G39+'B原料'!G39</f>
        <v>203541</v>
      </c>
      <c r="H39" s="133">
        <f>'B一般'!H39+'B原料'!H39</f>
        <v>1733390</v>
      </c>
      <c r="I39" s="107">
        <f>'B一般'!I39+'B原料'!I39</f>
        <v>72121</v>
      </c>
      <c r="J39" s="131">
        <f>'B一般'!J39+'B原料'!J39</f>
        <v>3290167</v>
      </c>
      <c r="K39" s="107">
        <f>'B一般'!K39+'B原料'!K39</f>
        <v>1403307</v>
      </c>
      <c r="L39" s="133">
        <f>'B一般'!L39+'B原料'!L39</f>
        <v>683052</v>
      </c>
      <c r="M39" s="106">
        <f>'B一般'!M39+'B原料'!M39</f>
        <v>54699</v>
      </c>
      <c r="N39" s="133">
        <f>'B一般'!N39+'B原料'!N39</f>
        <v>105933</v>
      </c>
      <c r="O39" s="106">
        <f>'B一般'!O39+'B原料'!O39</f>
        <v>856549</v>
      </c>
      <c r="P39" s="107">
        <f>'B一般'!P39+'B原料'!P39</f>
        <v>65150</v>
      </c>
      <c r="Q39" s="131">
        <f>'B一般'!Q39+'B原料'!Q39</f>
        <v>3168690</v>
      </c>
      <c r="R39" s="134">
        <f>'B一般'!R39+'B原料'!R39</f>
        <v>6458857</v>
      </c>
      <c r="S39" s="45"/>
    </row>
    <row r="40" spans="1:19" s="46" customFormat="1" ht="13.5" customHeight="1" thickBot="1">
      <c r="A40" s="144"/>
      <c r="B40" s="20" t="s">
        <v>30</v>
      </c>
      <c r="C40" s="55" t="s">
        <v>6</v>
      </c>
      <c r="D40" s="65">
        <f aca="true" t="shared" si="21" ref="D40:I40">IF(D38=0,,D39/D38*1000)</f>
        <v>461450</v>
      </c>
      <c r="E40" s="56">
        <f t="shared" si="21"/>
        <v>39014.63392533527</v>
      </c>
      <c r="F40" s="56">
        <f t="shared" si="21"/>
        <v>40403.09921513383</v>
      </c>
      <c r="G40" s="56">
        <f t="shared" si="21"/>
        <v>48221.03766879886</v>
      </c>
      <c r="H40" s="130">
        <f t="shared" si="21"/>
        <v>38890.53420385452</v>
      </c>
      <c r="I40" s="57">
        <f t="shared" si="21"/>
        <v>360605</v>
      </c>
      <c r="J40" s="132">
        <f>(J39/J38)*1000</f>
        <v>40598.29471138422</v>
      </c>
      <c r="K40" s="57">
        <f aca="true" t="shared" si="22" ref="K40:R40">IF(K38=0,,K39/K38*1000)</f>
        <v>49135.39915966386</v>
      </c>
      <c r="L40" s="130">
        <f t="shared" si="22"/>
        <v>63950.191929594606</v>
      </c>
      <c r="M40" s="56">
        <f t="shared" si="22"/>
        <v>189269.89619377162</v>
      </c>
      <c r="N40" s="130">
        <f t="shared" si="22"/>
        <v>289434.4262295082</v>
      </c>
      <c r="O40" s="56">
        <f t="shared" si="22"/>
        <v>44857.240115213404</v>
      </c>
      <c r="P40" s="57">
        <f t="shared" si="22"/>
        <v>944202.8985507246</v>
      </c>
      <c r="Q40" s="132">
        <f t="shared" si="22"/>
        <v>53652.04876396884</v>
      </c>
      <c r="R40" s="135">
        <f t="shared" si="22"/>
        <v>46101.10490928038</v>
      </c>
      <c r="S40" s="60"/>
    </row>
    <row r="41" spans="1:19" s="46" customFormat="1" ht="18" customHeight="1">
      <c r="A41" s="142" t="s">
        <v>7</v>
      </c>
      <c r="B41" s="47" t="s">
        <v>26</v>
      </c>
      <c r="C41" s="48" t="s">
        <v>4</v>
      </c>
      <c r="D41" s="105">
        <f>'B一般'!D41+'B原料'!D41</f>
        <v>276373</v>
      </c>
      <c r="E41" s="106">
        <f>'B一般'!E41+'B原料'!E41</f>
        <v>336375</v>
      </c>
      <c r="F41" s="106">
        <f>'B一般'!F41+'B原料'!F41</f>
        <v>342346</v>
      </c>
      <c r="G41" s="106">
        <f>'B一般'!G41+'B原料'!G41</f>
        <v>273481</v>
      </c>
      <c r="H41" s="133">
        <f>'B一般'!H41+'B原料'!H41</f>
        <v>461449</v>
      </c>
      <c r="I41" s="107">
        <f>'B一般'!I41+'B原料'!I41</f>
        <v>305931</v>
      </c>
      <c r="J41" s="131">
        <f>'B一般'!J41+'B原料'!J41</f>
        <v>1995955</v>
      </c>
      <c r="K41" s="107">
        <f>'B一般'!K41+'B原料'!K41</f>
        <v>288580</v>
      </c>
      <c r="L41" s="133">
        <f>'B一般'!L41+'B原料'!L41</f>
        <v>443378</v>
      </c>
      <c r="M41" s="106">
        <f>'B一般'!M41+'B原料'!M41</f>
        <v>327582</v>
      </c>
      <c r="N41" s="106">
        <f>'B一般'!N41+'B原料'!N41</f>
        <v>228354</v>
      </c>
      <c r="O41" s="106">
        <f>'B一般'!O41+'B原料'!O41</f>
        <v>352279</v>
      </c>
      <c r="P41" s="107">
        <f>'B一般'!P41+'B原料'!P41</f>
        <v>363063</v>
      </c>
      <c r="Q41" s="131">
        <f>'B一般'!Q41+'B原料'!Q41</f>
        <v>2003236</v>
      </c>
      <c r="R41" s="134">
        <f>'B一般'!R41+'B原料'!R41</f>
        <v>3999191</v>
      </c>
      <c r="S41" s="45"/>
    </row>
    <row r="42" spans="1:19" s="46" customFormat="1" ht="18" customHeight="1">
      <c r="A42" s="143"/>
      <c r="B42" s="47" t="s">
        <v>28</v>
      </c>
      <c r="C42" s="48" t="s">
        <v>5</v>
      </c>
      <c r="D42" s="105">
        <f>'B一般'!D42+'B原料'!D42</f>
        <v>8949704</v>
      </c>
      <c r="E42" s="106">
        <f>'B一般'!E42+'B原料'!E42</f>
        <v>12630888</v>
      </c>
      <c r="F42" s="106">
        <f>'B一般'!F42+'B原料'!F42</f>
        <v>13809397</v>
      </c>
      <c r="G42" s="133">
        <f>'B一般'!G42+'B原料'!G42</f>
        <v>11291958</v>
      </c>
      <c r="H42" s="133">
        <f>'B一般'!H42+'B原料'!H42</f>
        <v>18637198</v>
      </c>
      <c r="I42" s="107">
        <f>'B一般'!I42+'B原料'!I42</f>
        <v>13295459</v>
      </c>
      <c r="J42" s="131">
        <f>'B一般'!J42+'B原料'!J42</f>
        <v>78614604</v>
      </c>
      <c r="K42" s="107">
        <f>'B一般'!K42+'B原料'!K42</f>
        <v>13607406</v>
      </c>
      <c r="L42" s="133">
        <f>'B一般'!L42+'B原料'!L42</f>
        <v>22132321</v>
      </c>
      <c r="M42" s="106">
        <f>'B一般'!M42+'B原料'!M42</f>
        <v>16886650</v>
      </c>
      <c r="N42" s="133">
        <f>'B一般'!N42+'B原料'!N42</f>
        <v>10836178</v>
      </c>
      <c r="O42" s="106">
        <f>'B一般'!O42+'B原料'!O42</f>
        <v>15030608</v>
      </c>
      <c r="P42" s="107">
        <f>'B一般'!P42+'B原料'!P42</f>
        <v>15621182</v>
      </c>
      <c r="Q42" s="131">
        <f>'B一般'!Q42+'B原料'!Q42</f>
        <v>94114345</v>
      </c>
      <c r="R42" s="134">
        <f>'B一般'!R42+'B原料'!R42</f>
        <v>172728949</v>
      </c>
      <c r="S42" s="45"/>
    </row>
    <row r="43" spans="1:19" s="46" customFormat="1" ht="18" customHeight="1" thickBot="1">
      <c r="A43" s="145"/>
      <c r="B43" s="20" t="s">
        <v>30</v>
      </c>
      <c r="C43" s="55" t="s">
        <v>6</v>
      </c>
      <c r="D43" s="65">
        <f aca="true" t="shared" si="23" ref="D43:I43">IF(D41=0,,D42/D41*1000)</f>
        <v>32382.700191407992</v>
      </c>
      <c r="E43" s="56">
        <f t="shared" si="23"/>
        <v>37550.02006688963</v>
      </c>
      <c r="F43" s="56">
        <f t="shared" si="23"/>
        <v>40337.544472551155</v>
      </c>
      <c r="G43" s="130">
        <f t="shared" si="23"/>
        <v>41289.7349358822</v>
      </c>
      <c r="H43" s="130">
        <f t="shared" si="23"/>
        <v>40388.424289574796</v>
      </c>
      <c r="I43" s="57">
        <f t="shared" si="23"/>
        <v>43459.01199943778</v>
      </c>
      <c r="J43" s="132">
        <f>(J42/J41)*1000</f>
        <v>39386.962130909764</v>
      </c>
      <c r="K43" s="57">
        <f aca="true" t="shared" si="24" ref="K43:R43">IF(K41=0,,K42/K41*1000)</f>
        <v>47152.97664425809</v>
      </c>
      <c r="L43" s="130">
        <f t="shared" si="24"/>
        <v>49917.49928954526</v>
      </c>
      <c r="M43" s="56">
        <f t="shared" si="24"/>
        <v>51549.38305523503</v>
      </c>
      <c r="N43" s="130">
        <f t="shared" si="24"/>
        <v>47453.41881464743</v>
      </c>
      <c r="O43" s="56">
        <f t="shared" si="24"/>
        <v>42666.77264327422</v>
      </c>
      <c r="P43" s="57">
        <f t="shared" si="24"/>
        <v>43026.091890388176</v>
      </c>
      <c r="Q43" s="132">
        <f t="shared" si="24"/>
        <v>46981.15698799343</v>
      </c>
      <c r="R43" s="135">
        <f t="shared" si="24"/>
        <v>43190.972624213246</v>
      </c>
      <c r="S43" s="60"/>
    </row>
    <row r="44" spans="1:19" s="46" customFormat="1" ht="24" customHeight="1" thickBot="1">
      <c r="A44" s="146" t="s">
        <v>23</v>
      </c>
      <c r="B44" s="147"/>
      <c r="C44" s="148"/>
      <c r="D44" s="74">
        <v>106.25</v>
      </c>
      <c r="E44" s="64">
        <f>'B一般'!E44</f>
        <v>110.39</v>
      </c>
      <c r="F44" s="64">
        <f>'B一般'!F44</f>
        <v>111.1</v>
      </c>
      <c r="G44" s="64">
        <f>'B一般'!G44</f>
        <v>108.75</v>
      </c>
      <c r="H44" s="64">
        <f>'B一般'!H44</f>
        <v>110.45</v>
      </c>
      <c r="I44" s="63">
        <f>'B一般'!I44</f>
        <v>109.73</v>
      </c>
      <c r="J44" s="62">
        <v>109.55</v>
      </c>
      <c r="K44" s="63">
        <f>'B一般'!K44</f>
        <v>110.29</v>
      </c>
      <c r="L44" s="64">
        <f>'B一般'!L44</f>
        <v>106.67</v>
      </c>
      <c r="M44" s="64">
        <f>'B一般'!M44</f>
        <v>103.64</v>
      </c>
      <c r="N44" s="64">
        <f>'B一般'!N44</f>
        <v>103.66</v>
      </c>
      <c r="O44" s="64">
        <f>'B一般'!O44</f>
        <v>103.83</v>
      </c>
      <c r="P44" s="63">
        <f>'B一般'!P44</f>
        <v>104.83</v>
      </c>
      <c r="Q44" s="89">
        <v>105.35</v>
      </c>
      <c r="R44" s="84">
        <v>107.34</v>
      </c>
      <c r="S44" s="45"/>
    </row>
    <row r="45" ht="15.75" customHeight="1">
      <c r="A45" s="113"/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6.140625" style="0" customWidth="1"/>
  </cols>
  <sheetData>
    <row r="2" spans="1:16" ht="27" customHeight="1">
      <c r="A2" s="2"/>
      <c r="B2" s="34" t="s">
        <v>75</v>
      </c>
      <c r="C2" s="1"/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8" customHeight="1" thickBot="1">
      <c r="A3" s="44" t="s">
        <v>73</v>
      </c>
      <c r="B3" s="44"/>
      <c r="C3" s="44"/>
      <c r="D3" s="44"/>
      <c r="E3" s="44"/>
      <c r="F3" s="4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18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6" t="s">
        <v>32</v>
      </c>
      <c r="B5" s="47" t="s">
        <v>26</v>
      </c>
      <c r="C5" s="48" t="s">
        <v>4</v>
      </c>
      <c r="D5" s="66"/>
      <c r="E5" s="67"/>
      <c r="F5" s="67"/>
      <c r="G5" s="67"/>
      <c r="H5" s="67"/>
      <c r="I5" s="68"/>
      <c r="J5" s="52">
        <f>SUM(D5:I5)</f>
        <v>0</v>
      </c>
      <c r="K5" s="68"/>
      <c r="L5" s="67"/>
      <c r="M5" s="67"/>
      <c r="N5" s="67"/>
      <c r="O5" s="67"/>
      <c r="P5" s="68"/>
      <c r="Q5" s="52">
        <f>SUM(K5:P5)</f>
        <v>0</v>
      </c>
      <c r="R5" s="53">
        <f>J5+Q5</f>
        <v>0</v>
      </c>
      <c r="S5" s="45"/>
    </row>
    <row r="6" spans="1:19" s="46" customFormat="1" ht="13.5" customHeight="1">
      <c r="A6" s="143"/>
      <c r="B6" s="47" t="s">
        <v>28</v>
      </c>
      <c r="C6" s="48" t="s">
        <v>5</v>
      </c>
      <c r="D6" s="66"/>
      <c r="E6" s="67"/>
      <c r="F6" s="67"/>
      <c r="G6" s="67"/>
      <c r="H6" s="67"/>
      <c r="I6" s="68"/>
      <c r="J6" s="52">
        <f>SUM(D6:I6)</f>
        <v>0</v>
      </c>
      <c r="K6" s="51"/>
      <c r="L6" s="50"/>
      <c r="M6" s="50"/>
      <c r="N6" s="50"/>
      <c r="O6" s="50"/>
      <c r="P6" s="51"/>
      <c r="Q6" s="52">
        <f>SUM(K6:P6)</f>
        <v>0</v>
      </c>
      <c r="R6" s="53">
        <f>J6+Q6</f>
        <v>0</v>
      </c>
      <c r="S6" s="45"/>
    </row>
    <row r="7" spans="1:19" s="46" customFormat="1" ht="13.5" customHeight="1" thickBot="1">
      <c r="A7" s="144"/>
      <c r="B7" s="20" t="s">
        <v>30</v>
      </c>
      <c r="C7" s="55" t="s">
        <v>6</v>
      </c>
      <c r="D7" s="65">
        <f aca="true" t="shared" si="0" ref="D7:I7">IF(D5=0,,D6/D5*1000)</f>
        <v>0</v>
      </c>
      <c r="E7" s="56">
        <f>IF(E5=0,,E6/E5*1000)</f>
        <v>0</v>
      </c>
      <c r="F7" s="56">
        <f t="shared" si="0"/>
        <v>0</v>
      </c>
      <c r="G7" s="56">
        <f>IF(G5=0,,G6/G5*1000)</f>
        <v>0</v>
      </c>
      <c r="H7" s="56">
        <f t="shared" si="0"/>
        <v>0</v>
      </c>
      <c r="I7" s="57">
        <f t="shared" si="0"/>
        <v>0</v>
      </c>
      <c r="J7" s="58">
        <f aca="true" t="shared" si="1" ref="J7:R7">IF(J5=0,,J6/J5*1000)</f>
        <v>0</v>
      </c>
      <c r="K7" s="57">
        <f t="shared" si="1"/>
        <v>0</v>
      </c>
      <c r="L7" s="56">
        <f t="shared" si="1"/>
        <v>0</v>
      </c>
      <c r="M7" s="56">
        <f t="shared" si="1"/>
        <v>0</v>
      </c>
      <c r="N7" s="56">
        <f t="shared" si="1"/>
        <v>0</v>
      </c>
      <c r="O7" s="56">
        <f t="shared" si="1"/>
        <v>0</v>
      </c>
      <c r="P7" s="57">
        <f t="shared" si="1"/>
        <v>0</v>
      </c>
      <c r="Q7" s="58">
        <f t="shared" si="1"/>
        <v>0</v>
      </c>
      <c r="R7" s="59">
        <f t="shared" si="1"/>
        <v>0</v>
      </c>
      <c r="S7" s="60"/>
    </row>
    <row r="8" spans="1:19" s="46" customFormat="1" ht="13.5" customHeight="1">
      <c r="A8" s="142" t="s">
        <v>33</v>
      </c>
      <c r="B8" s="47" t="s">
        <v>26</v>
      </c>
      <c r="C8" s="48" t="s">
        <v>4</v>
      </c>
      <c r="D8" s="66"/>
      <c r="E8" s="67"/>
      <c r="F8" s="67"/>
      <c r="G8" s="67"/>
      <c r="H8" s="67"/>
      <c r="I8" s="68"/>
      <c r="J8" s="52">
        <f>SUM(D8:I8)</f>
        <v>0</v>
      </c>
      <c r="K8" s="68"/>
      <c r="L8" s="67"/>
      <c r="M8" s="67"/>
      <c r="N8" s="67"/>
      <c r="O8" s="67"/>
      <c r="P8" s="68"/>
      <c r="Q8" s="52">
        <f>SUM(K8:P8)</f>
        <v>0</v>
      </c>
      <c r="R8" s="53">
        <f>J8+Q8</f>
        <v>0</v>
      </c>
      <c r="S8" s="45"/>
    </row>
    <row r="9" spans="1:19" s="46" customFormat="1" ht="13.5" customHeight="1">
      <c r="A9" s="143"/>
      <c r="B9" s="47" t="s">
        <v>28</v>
      </c>
      <c r="C9" s="48" t="s">
        <v>5</v>
      </c>
      <c r="D9" s="66"/>
      <c r="E9" s="67"/>
      <c r="F9" s="67"/>
      <c r="G9" s="67"/>
      <c r="H9" s="67"/>
      <c r="I9" s="68"/>
      <c r="J9" s="52">
        <f>SUM(D9:I9)</f>
        <v>0</v>
      </c>
      <c r="K9" s="51"/>
      <c r="L9" s="50"/>
      <c r="M9" s="50"/>
      <c r="N9" s="50"/>
      <c r="O9" s="50"/>
      <c r="P9" s="51"/>
      <c r="Q9" s="52">
        <f>SUM(K9:P9)</f>
        <v>0</v>
      </c>
      <c r="R9" s="53">
        <f>J9+Q9</f>
        <v>0</v>
      </c>
      <c r="S9" s="45"/>
    </row>
    <row r="10" spans="1:19" s="46" customFormat="1" ht="13.5" customHeight="1" thickBot="1">
      <c r="A10" s="144"/>
      <c r="B10" s="20" t="s">
        <v>30</v>
      </c>
      <c r="C10" s="55" t="s">
        <v>6</v>
      </c>
      <c r="D10" s="65">
        <f aca="true" t="shared" si="2" ref="D10:R10">IF(D8=0,,D9/D8*1000)</f>
        <v>0</v>
      </c>
      <c r="E10" s="56">
        <f t="shared" si="2"/>
        <v>0</v>
      </c>
      <c r="F10" s="56">
        <f t="shared" si="2"/>
        <v>0</v>
      </c>
      <c r="G10" s="56">
        <f t="shared" si="2"/>
        <v>0</v>
      </c>
      <c r="H10" s="56">
        <f t="shared" si="2"/>
        <v>0</v>
      </c>
      <c r="I10" s="57">
        <f t="shared" si="2"/>
        <v>0</v>
      </c>
      <c r="J10" s="58">
        <f t="shared" si="2"/>
        <v>0</v>
      </c>
      <c r="K10" s="57">
        <f t="shared" si="2"/>
        <v>0</v>
      </c>
      <c r="L10" s="56">
        <f t="shared" si="2"/>
        <v>0</v>
      </c>
      <c r="M10" s="56">
        <f t="shared" si="2"/>
        <v>0</v>
      </c>
      <c r="N10" s="56">
        <f t="shared" si="2"/>
        <v>0</v>
      </c>
      <c r="O10" s="56">
        <f t="shared" si="2"/>
        <v>0</v>
      </c>
      <c r="P10" s="57">
        <f t="shared" si="2"/>
        <v>0</v>
      </c>
      <c r="Q10" s="58">
        <f t="shared" si="2"/>
        <v>0</v>
      </c>
      <c r="R10" s="59">
        <f t="shared" si="2"/>
        <v>0</v>
      </c>
      <c r="S10" s="45"/>
    </row>
    <row r="11" spans="1:19" s="46" customFormat="1" ht="13.5" customHeight="1">
      <c r="A11" s="142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/>
      <c r="O11" s="67"/>
      <c r="P11" s="68"/>
      <c r="Q11" s="52">
        <f>SUM(K11:P11)</f>
        <v>0</v>
      </c>
      <c r="R11" s="53">
        <f>J11+Q11</f>
        <v>0</v>
      </c>
      <c r="S11" s="45"/>
    </row>
    <row r="12" spans="1:19" s="46" customFormat="1" ht="13.5" customHeight="1">
      <c r="A12" s="143"/>
      <c r="B12" s="47" t="s">
        <v>28</v>
      </c>
      <c r="C12" s="48" t="s">
        <v>5</v>
      </c>
      <c r="D12" s="49"/>
      <c r="E12" s="50"/>
      <c r="F12" s="50"/>
      <c r="G12" s="67"/>
      <c r="H12" s="50"/>
      <c r="I12" s="51"/>
      <c r="J12" s="52">
        <f>SUM(D12:I12)</f>
        <v>0</v>
      </c>
      <c r="K12" s="51"/>
      <c r="L12" s="50"/>
      <c r="M12" s="50"/>
      <c r="N12" s="50"/>
      <c r="O12" s="50"/>
      <c r="P12" s="51"/>
      <c r="Q12" s="52">
        <f>SUM(K12:P12)</f>
        <v>0</v>
      </c>
      <c r="R12" s="53">
        <f>J12+Q12</f>
        <v>0</v>
      </c>
      <c r="S12" s="45"/>
    </row>
    <row r="13" spans="1:19" s="46" customFormat="1" ht="13.5" customHeight="1" thickBot="1">
      <c r="A13" s="144"/>
      <c r="B13" s="20" t="s">
        <v>30</v>
      </c>
      <c r="C13" s="55" t="s">
        <v>6</v>
      </c>
      <c r="D13" s="65">
        <f aca="true" t="shared" si="3" ref="D13:R13">IF(D11=0,,D12/D11*1000)</f>
        <v>0</v>
      </c>
      <c r="E13" s="56">
        <f t="shared" si="3"/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7">
        <f t="shared" si="3"/>
        <v>0</v>
      </c>
      <c r="J13" s="58">
        <f t="shared" si="3"/>
        <v>0</v>
      </c>
      <c r="K13" s="57">
        <f t="shared" si="3"/>
        <v>0</v>
      </c>
      <c r="L13" s="56">
        <f t="shared" si="3"/>
        <v>0</v>
      </c>
      <c r="M13" s="56">
        <f t="shared" si="3"/>
        <v>0</v>
      </c>
      <c r="N13" s="56">
        <f t="shared" si="3"/>
        <v>0</v>
      </c>
      <c r="O13" s="56">
        <f t="shared" si="3"/>
        <v>0</v>
      </c>
      <c r="P13" s="57">
        <f t="shared" si="3"/>
        <v>0</v>
      </c>
      <c r="Q13" s="58">
        <f t="shared" si="3"/>
        <v>0</v>
      </c>
      <c r="R13" s="59">
        <f t="shared" si="3"/>
        <v>0</v>
      </c>
      <c r="S13" s="60"/>
    </row>
    <row r="14" spans="1:19" s="46" customFormat="1" ht="13.5" customHeight="1">
      <c r="A14" s="142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43"/>
      <c r="B15" s="47" t="s">
        <v>28</v>
      </c>
      <c r="C15" s="48" t="s">
        <v>5</v>
      </c>
      <c r="D15" s="49"/>
      <c r="E15" s="50"/>
      <c r="F15" s="50"/>
      <c r="G15" s="50"/>
      <c r="H15" s="50"/>
      <c r="I15" s="51"/>
      <c r="J15" s="52">
        <f>SUM(D15:I15)</f>
        <v>0</v>
      </c>
      <c r="K15" s="51"/>
      <c r="L15" s="50"/>
      <c r="M15" s="50"/>
      <c r="N15" s="50"/>
      <c r="O15" s="50"/>
      <c r="P15" s="51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44"/>
      <c r="B16" s="20" t="s">
        <v>30</v>
      </c>
      <c r="C16" s="55" t="s">
        <v>6</v>
      </c>
      <c r="D16" s="65">
        <f aca="true" t="shared" si="4" ref="D16:R16">IF(D14=0,,D15/D14*1000)</f>
        <v>0</v>
      </c>
      <c r="E16" s="56">
        <f t="shared" si="4"/>
        <v>0</v>
      </c>
      <c r="F16" s="56">
        <f t="shared" si="4"/>
        <v>0</v>
      </c>
      <c r="G16" s="56">
        <f t="shared" si="4"/>
        <v>0</v>
      </c>
      <c r="H16" s="56">
        <f t="shared" si="4"/>
        <v>0</v>
      </c>
      <c r="I16" s="57">
        <f t="shared" si="4"/>
        <v>0</v>
      </c>
      <c r="J16" s="58">
        <f t="shared" si="4"/>
        <v>0</v>
      </c>
      <c r="K16" s="57">
        <f t="shared" si="4"/>
        <v>0</v>
      </c>
      <c r="L16" s="56">
        <f t="shared" si="4"/>
        <v>0</v>
      </c>
      <c r="M16" s="56">
        <f t="shared" si="4"/>
        <v>0</v>
      </c>
      <c r="N16" s="56">
        <f t="shared" si="4"/>
        <v>0</v>
      </c>
      <c r="O16" s="56">
        <f t="shared" si="4"/>
        <v>0</v>
      </c>
      <c r="P16" s="57">
        <f t="shared" si="4"/>
        <v>0</v>
      </c>
      <c r="Q16" s="58">
        <f t="shared" si="4"/>
        <v>0</v>
      </c>
      <c r="R16" s="59">
        <f t="shared" si="4"/>
        <v>0</v>
      </c>
      <c r="S16" s="60"/>
    </row>
    <row r="17" spans="1:19" s="46" customFormat="1" ht="13.5" customHeight="1">
      <c r="A17" s="142" t="s">
        <v>39</v>
      </c>
      <c r="B17" s="47" t="s">
        <v>26</v>
      </c>
      <c r="C17" s="48" t="s">
        <v>4</v>
      </c>
      <c r="D17" s="66"/>
      <c r="E17" s="67"/>
      <c r="F17" s="67"/>
      <c r="G17" s="67"/>
      <c r="H17" s="67"/>
      <c r="I17" s="68"/>
      <c r="J17" s="52">
        <f>SUM(D17:I17)</f>
        <v>0</v>
      </c>
      <c r="K17" s="68"/>
      <c r="L17" s="67"/>
      <c r="M17" s="67"/>
      <c r="N17" s="67"/>
      <c r="O17" s="67"/>
      <c r="P17" s="68"/>
      <c r="Q17" s="52">
        <f>SUM(K17:P17)</f>
        <v>0</v>
      </c>
      <c r="R17" s="53">
        <f>J17+Q17</f>
        <v>0</v>
      </c>
      <c r="S17" s="45"/>
    </row>
    <row r="18" spans="1:19" s="46" customFormat="1" ht="13.5" customHeight="1">
      <c r="A18" s="143"/>
      <c r="B18" s="47" t="s">
        <v>28</v>
      </c>
      <c r="C18" s="48" t="s">
        <v>5</v>
      </c>
      <c r="D18" s="66"/>
      <c r="E18" s="67"/>
      <c r="F18" s="67"/>
      <c r="G18" s="67"/>
      <c r="H18" s="67"/>
      <c r="I18" s="68"/>
      <c r="J18" s="52">
        <f>SUM(D18:I18)</f>
        <v>0</v>
      </c>
      <c r="K18" s="51"/>
      <c r="L18" s="50"/>
      <c r="M18" s="50"/>
      <c r="N18" s="50"/>
      <c r="O18" s="50"/>
      <c r="P18" s="51"/>
      <c r="Q18" s="52">
        <f>SUM(K18:P18)</f>
        <v>0</v>
      </c>
      <c r="R18" s="53">
        <f>J18+Q18</f>
        <v>0</v>
      </c>
      <c r="S18" s="45"/>
    </row>
    <row r="19" spans="1:19" s="46" customFormat="1" ht="13.5" customHeight="1" thickBot="1">
      <c r="A19" s="144"/>
      <c r="B19" s="20" t="s">
        <v>30</v>
      </c>
      <c r="C19" s="55" t="s">
        <v>6</v>
      </c>
      <c r="D19" s="65">
        <f aca="true" t="shared" si="5" ref="D19:R19">IF(D17=0,,D18/D17*1000)</f>
        <v>0</v>
      </c>
      <c r="E19" s="56">
        <f t="shared" si="5"/>
        <v>0</v>
      </c>
      <c r="F19" s="56">
        <f t="shared" si="5"/>
        <v>0</v>
      </c>
      <c r="G19" s="56">
        <f t="shared" si="5"/>
        <v>0</v>
      </c>
      <c r="H19" s="56">
        <f t="shared" si="5"/>
        <v>0</v>
      </c>
      <c r="I19" s="57">
        <f t="shared" si="5"/>
        <v>0</v>
      </c>
      <c r="J19" s="58">
        <f t="shared" si="5"/>
        <v>0</v>
      </c>
      <c r="K19" s="57">
        <f t="shared" si="5"/>
        <v>0</v>
      </c>
      <c r="L19" s="56">
        <f t="shared" si="5"/>
        <v>0</v>
      </c>
      <c r="M19" s="56">
        <f t="shared" si="5"/>
        <v>0</v>
      </c>
      <c r="N19" s="56">
        <f t="shared" si="5"/>
        <v>0</v>
      </c>
      <c r="O19" s="56">
        <f t="shared" si="5"/>
        <v>0</v>
      </c>
      <c r="P19" s="57">
        <f t="shared" si="5"/>
        <v>0</v>
      </c>
      <c r="Q19" s="58">
        <f t="shared" si="5"/>
        <v>0</v>
      </c>
      <c r="R19" s="59">
        <f t="shared" si="5"/>
        <v>0</v>
      </c>
      <c r="S19" s="60"/>
    </row>
    <row r="20" spans="1:19" s="46" customFormat="1" ht="13.5" customHeight="1">
      <c r="A20" s="151" t="s">
        <v>41</v>
      </c>
      <c r="B20" s="47" t="s">
        <v>26</v>
      </c>
      <c r="C20" s="48" t="s">
        <v>4</v>
      </c>
      <c r="D20" s="66"/>
      <c r="E20" s="67"/>
      <c r="F20" s="67"/>
      <c r="G20" s="67"/>
      <c r="H20" s="67"/>
      <c r="I20" s="68"/>
      <c r="J20" s="52">
        <f>SUM(D20:I20)</f>
        <v>0</v>
      </c>
      <c r="K20" s="68"/>
      <c r="L20" s="67"/>
      <c r="M20" s="67"/>
      <c r="N20" s="67"/>
      <c r="O20" s="67"/>
      <c r="P20" s="68"/>
      <c r="Q20" s="52">
        <f>SUM(K20:P20)</f>
        <v>0</v>
      </c>
      <c r="R20" s="53">
        <f>J20+Q20</f>
        <v>0</v>
      </c>
      <c r="S20" s="45"/>
    </row>
    <row r="21" spans="1:19" s="46" customFormat="1" ht="13.5" customHeight="1">
      <c r="A21" s="152"/>
      <c r="B21" s="47" t="s">
        <v>28</v>
      </c>
      <c r="C21" s="48" t="s">
        <v>5</v>
      </c>
      <c r="D21" s="66"/>
      <c r="E21" s="67"/>
      <c r="F21" s="67"/>
      <c r="G21" s="67"/>
      <c r="H21" s="67"/>
      <c r="I21" s="68"/>
      <c r="J21" s="52">
        <f>SUM(D21:I21)</f>
        <v>0</v>
      </c>
      <c r="K21" s="51"/>
      <c r="L21" s="50"/>
      <c r="M21" s="50"/>
      <c r="N21" s="50"/>
      <c r="O21" s="50"/>
      <c r="P21" s="51"/>
      <c r="Q21" s="52">
        <f>SUM(K21:P21)</f>
        <v>0</v>
      </c>
      <c r="R21" s="53">
        <f>J21+Q21</f>
        <v>0</v>
      </c>
      <c r="S21" s="45"/>
    </row>
    <row r="22" spans="1:19" s="46" customFormat="1" ht="13.5" customHeight="1" thickBot="1">
      <c r="A22" s="153"/>
      <c r="B22" s="20" t="s">
        <v>30</v>
      </c>
      <c r="C22" s="55" t="s">
        <v>6</v>
      </c>
      <c r="D22" s="65">
        <f aca="true" t="shared" si="6" ref="D22:R22">IF(D20=0,,D21/D20*1000)</f>
        <v>0</v>
      </c>
      <c r="E22" s="56">
        <f t="shared" si="6"/>
        <v>0</v>
      </c>
      <c r="F22" s="56">
        <f t="shared" si="6"/>
        <v>0</v>
      </c>
      <c r="G22" s="56">
        <f t="shared" si="6"/>
        <v>0</v>
      </c>
      <c r="H22" s="56">
        <f t="shared" si="6"/>
        <v>0</v>
      </c>
      <c r="I22" s="57">
        <f t="shared" si="6"/>
        <v>0</v>
      </c>
      <c r="J22" s="58">
        <f t="shared" si="6"/>
        <v>0</v>
      </c>
      <c r="K22" s="57">
        <f t="shared" si="6"/>
        <v>0</v>
      </c>
      <c r="L22" s="56">
        <f t="shared" si="6"/>
        <v>0</v>
      </c>
      <c r="M22" s="56">
        <f t="shared" si="6"/>
        <v>0</v>
      </c>
      <c r="N22" s="56">
        <f t="shared" si="6"/>
        <v>0</v>
      </c>
      <c r="O22" s="56">
        <f t="shared" si="6"/>
        <v>0</v>
      </c>
      <c r="P22" s="57">
        <f t="shared" si="6"/>
        <v>0</v>
      </c>
      <c r="Q22" s="58">
        <f t="shared" si="6"/>
        <v>0</v>
      </c>
      <c r="R22" s="59">
        <f t="shared" si="6"/>
        <v>0</v>
      </c>
      <c r="S22" s="60"/>
    </row>
    <row r="23" spans="1:19" s="46" customFormat="1" ht="13.5" customHeight="1">
      <c r="A23" s="142" t="s">
        <v>42</v>
      </c>
      <c r="B23" s="47" t="s">
        <v>26</v>
      </c>
      <c r="C23" s="48" t="s">
        <v>4</v>
      </c>
      <c r="D23" s="66"/>
      <c r="E23" s="67"/>
      <c r="F23" s="67"/>
      <c r="G23" s="67"/>
      <c r="H23" s="67"/>
      <c r="I23" s="68"/>
      <c r="J23" s="52">
        <f>SUM(D23:I23)</f>
        <v>0</v>
      </c>
      <c r="K23" s="68"/>
      <c r="L23" s="67"/>
      <c r="M23" s="67"/>
      <c r="N23" s="67"/>
      <c r="O23" s="67"/>
      <c r="P23" s="68"/>
      <c r="Q23" s="52">
        <f>SUM(K23:P23)</f>
        <v>0</v>
      </c>
      <c r="R23" s="53">
        <f>J23+Q23</f>
        <v>0</v>
      </c>
      <c r="S23" s="45"/>
    </row>
    <row r="24" spans="1:19" s="46" customFormat="1" ht="13.5" customHeight="1">
      <c r="A24" s="143"/>
      <c r="B24" s="47" t="s">
        <v>28</v>
      </c>
      <c r="C24" s="48" t="s">
        <v>5</v>
      </c>
      <c r="D24" s="66"/>
      <c r="E24" s="67"/>
      <c r="F24" s="67"/>
      <c r="G24" s="67"/>
      <c r="H24" s="67"/>
      <c r="I24" s="68"/>
      <c r="J24" s="52">
        <f>SUM(D24:I24)</f>
        <v>0</v>
      </c>
      <c r="K24" s="51"/>
      <c r="L24" s="50"/>
      <c r="M24" s="50"/>
      <c r="N24" s="50"/>
      <c r="O24" s="50"/>
      <c r="P24" s="51"/>
      <c r="Q24" s="52">
        <f>SUM(K24:P24)</f>
        <v>0</v>
      </c>
      <c r="R24" s="53">
        <f>J24+Q24</f>
        <v>0</v>
      </c>
      <c r="S24" s="45"/>
    </row>
    <row r="25" spans="1:19" s="46" customFormat="1" ht="13.5" customHeight="1" thickBot="1">
      <c r="A25" s="144"/>
      <c r="B25" s="20" t="s">
        <v>30</v>
      </c>
      <c r="C25" s="55" t="s">
        <v>6</v>
      </c>
      <c r="D25" s="65">
        <f aca="true" t="shared" si="7" ref="D25:R25">IF(D23=0,,D24/D23*1000)</f>
        <v>0</v>
      </c>
      <c r="E25" s="56">
        <f t="shared" si="7"/>
        <v>0</v>
      </c>
      <c r="F25" s="56">
        <f t="shared" si="7"/>
        <v>0</v>
      </c>
      <c r="G25" s="56">
        <f t="shared" si="7"/>
        <v>0</v>
      </c>
      <c r="H25" s="56">
        <f t="shared" si="7"/>
        <v>0</v>
      </c>
      <c r="I25" s="57">
        <f t="shared" si="7"/>
        <v>0</v>
      </c>
      <c r="J25" s="58">
        <f t="shared" si="7"/>
        <v>0</v>
      </c>
      <c r="K25" s="57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6">
        <f t="shared" si="7"/>
        <v>0</v>
      </c>
      <c r="P25" s="57">
        <f t="shared" si="7"/>
        <v>0</v>
      </c>
      <c r="Q25" s="58">
        <f t="shared" si="7"/>
        <v>0</v>
      </c>
      <c r="R25" s="59">
        <f t="shared" si="7"/>
        <v>0</v>
      </c>
      <c r="S25" s="60"/>
    </row>
    <row r="26" spans="1:19" s="46" customFormat="1" ht="13.5" customHeight="1">
      <c r="A26" s="142" t="s">
        <v>44</v>
      </c>
      <c r="B26" s="47" t="s">
        <v>26</v>
      </c>
      <c r="C26" s="48" t="s">
        <v>4</v>
      </c>
      <c r="D26" s="66"/>
      <c r="E26" s="67"/>
      <c r="F26" s="67"/>
      <c r="G26" s="67"/>
      <c r="H26" s="67"/>
      <c r="I26" s="68"/>
      <c r="J26" s="52">
        <f>SUM(D26:I26)</f>
        <v>0</v>
      </c>
      <c r="K26" s="68"/>
      <c r="L26" s="67"/>
      <c r="M26" s="67"/>
      <c r="N26" s="67"/>
      <c r="O26" s="67"/>
      <c r="P26" s="68"/>
      <c r="Q26" s="52">
        <f>SUM(K26:P26)</f>
        <v>0</v>
      </c>
      <c r="R26" s="53">
        <f>J26+Q26</f>
        <v>0</v>
      </c>
      <c r="S26" s="45"/>
    </row>
    <row r="27" spans="1:19" s="46" customFormat="1" ht="13.5" customHeight="1">
      <c r="A27" s="143"/>
      <c r="B27" s="47" t="s">
        <v>28</v>
      </c>
      <c r="C27" s="48" t="s">
        <v>5</v>
      </c>
      <c r="D27" s="66"/>
      <c r="E27" s="67"/>
      <c r="F27" s="67"/>
      <c r="G27" s="67"/>
      <c r="H27" s="67"/>
      <c r="I27" s="68"/>
      <c r="J27" s="52">
        <f>SUM(D27:I27)</f>
        <v>0</v>
      </c>
      <c r="K27" s="51"/>
      <c r="L27" s="50"/>
      <c r="M27" s="50"/>
      <c r="N27" s="50"/>
      <c r="O27" s="50"/>
      <c r="P27" s="51"/>
      <c r="Q27" s="52">
        <f>SUM(K27:P27)</f>
        <v>0</v>
      </c>
      <c r="R27" s="53">
        <f>J27+Q27</f>
        <v>0</v>
      </c>
      <c r="S27" s="45"/>
    </row>
    <row r="28" spans="1:19" s="46" customFormat="1" ht="13.5" customHeight="1" thickBot="1">
      <c r="A28" s="144"/>
      <c r="B28" s="20" t="s">
        <v>30</v>
      </c>
      <c r="C28" s="55" t="s">
        <v>6</v>
      </c>
      <c r="D28" s="65">
        <f aca="true" t="shared" si="8" ref="D28:R28">IF(D26=0,,D27/D26*1000)</f>
        <v>0</v>
      </c>
      <c r="E28" s="56">
        <f t="shared" si="8"/>
        <v>0</v>
      </c>
      <c r="F28" s="56">
        <f t="shared" si="8"/>
        <v>0</v>
      </c>
      <c r="G28" s="56">
        <f t="shared" si="8"/>
        <v>0</v>
      </c>
      <c r="H28" s="56">
        <f t="shared" si="8"/>
        <v>0</v>
      </c>
      <c r="I28" s="57">
        <f t="shared" si="8"/>
        <v>0</v>
      </c>
      <c r="J28" s="58">
        <f t="shared" si="8"/>
        <v>0</v>
      </c>
      <c r="K28" s="57">
        <f t="shared" si="8"/>
        <v>0</v>
      </c>
      <c r="L28" s="56">
        <f t="shared" si="8"/>
        <v>0</v>
      </c>
      <c r="M28" s="56">
        <f t="shared" si="8"/>
        <v>0</v>
      </c>
      <c r="N28" s="56">
        <f t="shared" si="8"/>
        <v>0</v>
      </c>
      <c r="O28" s="56">
        <f t="shared" si="8"/>
        <v>0</v>
      </c>
      <c r="P28" s="57">
        <f t="shared" si="8"/>
        <v>0</v>
      </c>
      <c r="Q28" s="58">
        <f t="shared" si="8"/>
        <v>0</v>
      </c>
      <c r="R28" s="59">
        <f t="shared" si="8"/>
        <v>0</v>
      </c>
      <c r="S28" s="60"/>
    </row>
    <row r="29" spans="1:19" s="46" customFormat="1" ht="13.5" customHeight="1">
      <c r="A29" s="142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J29+Q29</f>
        <v>0</v>
      </c>
      <c r="S29" s="45"/>
    </row>
    <row r="30" spans="1:19" s="46" customFormat="1" ht="13.5" customHeight="1">
      <c r="A30" s="143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51"/>
      <c r="L30" s="50"/>
      <c r="M30" s="50"/>
      <c r="N30" s="50"/>
      <c r="O30" s="50"/>
      <c r="P30" s="51"/>
      <c r="Q30" s="52">
        <f>SUM(K30:P30)</f>
        <v>0</v>
      </c>
      <c r="R30" s="53">
        <f>J30+Q30</f>
        <v>0</v>
      </c>
      <c r="S30" s="45"/>
    </row>
    <row r="31" spans="1:19" s="46" customFormat="1" ht="13.5" customHeight="1" thickBot="1">
      <c r="A31" s="144"/>
      <c r="B31" s="20" t="s">
        <v>30</v>
      </c>
      <c r="C31" s="55" t="s">
        <v>6</v>
      </c>
      <c r="D31" s="65">
        <f aca="true" t="shared" si="9" ref="D31:R31">IF(D29=0,,D30/D29*1000)</f>
        <v>0</v>
      </c>
      <c r="E31" s="56">
        <f t="shared" si="9"/>
        <v>0</v>
      </c>
      <c r="F31" s="56">
        <f t="shared" si="9"/>
        <v>0</v>
      </c>
      <c r="G31" s="56">
        <f t="shared" si="9"/>
        <v>0</v>
      </c>
      <c r="H31" s="56">
        <f t="shared" si="9"/>
        <v>0</v>
      </c>
      <c r="I31" s="57">
        <f t="shared" si="9"/>
        <v>0</v>
      </c>
      <c r="J31" s="58">
        <f t="shared" si="9"/>
        <v>0</v>
      </c>
      <c r="K31" s="57">
        <f t="shared" si="9"/>
        <v>0</v>
      </c>
      <c r="L31" s="56">
        <f t="shared" si="9"/>
        <v>0</v>
      </c>
      <c r="M31" s="56">
        <f t="shared" si="9"/>
        <v>0</v>
      </c>
      <c r="N31" s="56">
        <f t="shared" si="9"/>
        <v>0</v>
      </c>
      <c r="O31" s="56">
        <f t="shared" si="9"/>
        <v>0</v>
      </c>
      <c r="P31" s="57">
        <f t="shared" si="9"/>
        <v>0</v>
      </c>
      <c r="Q31" s="58">
        <f t="shared" si="9"/>
        <v>0</v>
      </c>
      <c r="R31" s="59">
        <f t="shared" si="9"/>
        <v>0</v>
      </c>
      <c r="S31" s="60"/>
    </row>
    <row r="32" spans="1:19" s="46" customFormat="1" ht="13.5" customHeight="1">
      <c r="A32" s="142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43"/>
      <c r="B33" s="47" t="s">
        <v>28</v>
      </c>
      <c r="C33" s="48" t="s">
        <v>5</v>
      </c>
      <c r="D33" s="49"/>
      <c r="E33" s="50"/>
      <c r="F33" s="50"/>
      <c r="G33" s="50"/>
      <c r="H33" s="50"/>
      <c r="I33" s="51"/>
      <c r="J33" s="52">
        <f>SUM(D33:I33)</f>
        <v>0</v>
      </c>
      <c r="K33" s="51"/>
      <c r="L33" s="50"/>
      <c r="M33" s="50"/>
      <c r="N33" s="50"/>
      <c r="O33" s="50"/>
      <c r="P33" s="51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44"/>
      <c r="B34" s="20" t="s">
        <v>30</v>
      </c>
      <c r="C34" s="55" t="s">
        <v>6</v>
      </c>
      <c r="D34" s="65">
        <f aca="true" t="shared" si="10" ref="D34:R34">IF(D32=0,,D33/D32*1000)</f>
        <v>0</v>
      </c>
      <c r="E34" s="56">
        <f t="shared" si="10"/>
        <v>0</v>
      </c>
      <c r="F34" s="56">
        <f t="shared" si="10"/>
        <v>0</v>
      </c>
      <c r="G34" s="56">
        <f t="shared" si="10"/>
        <v>0</v>
      </c>
      <c r="H34" s="56">
        <f t="shared" si="10"/>
        <v>0</v>
      </c>
      <c r="I34" s="57">
        <f t="shared" si="10"/>
        <v>0</v>
      </c>
      <c r="J34" s="58">
        <f t="shared" si="10"/>
        <v>0</v>
      </c>
      <c r="K34" s="57">
        <f t="shared" si="10"/>
        <v>0</v>
      </c>
      <c r="L34" s="56">
        <f t="shared" si="10"/>
        <v>0</v>
      </c>
      <c r="M34" s="56">
        <f t="shared" si="10"/>
        <v>0</v>
      </c>
      <c r="N34" s="56">
        <f t="shared" si="10"/>
        <v>0</v>
      </c>
      <c r="O34" s="56">
        <f t="shared" si="10"/>
        <v>0</v>
      </c>
      <c r="P34" s="57">
        <f t="shared" si="10"/>
        <v>0</v>
      </c>
      <c r="Q34" s="58">
        <f t="shared" si="10"/>
        <v>0</v>
      </c>
      <c r="R34" s="59">
        <f t="shared" si="10"/>
        <v>0</v>
      </c>
      <c r="S34" s="60"/>
    </row>
    <row r="35" spans="1:19" s="46" customFormat="1" ht="13.5" customHeight="1">
      <c r="A35" s="142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J35+Q35</f>
        <v>0</v>
      </c>
      <c r="S35" s="45"/>
    </row>
    <row r="36" spans="1:19" s="46" customFormat="1" ht="13.5" customHeight="1">
      <c r="A36" s="143"/>
      <c r="B36" s="47" t="s">
        <v>28</v>
      </c>
      <c r="C36" s="48" t="s">
        <v>5</v>
      </c>
      <c r="D36" s="49"/>
      <c r="E36" s="67"/>
      <c r="F36" s="50"/>
      <c r="G36" s="50"/>
      <c r="H36" s="50"/>
      <c r="I36" s="51"/>
      <c r="J36" s="52">
        <f>SUM(D36:I36)</f>
        <v>0</v>
      </c>
      <c r="K36" s="51"/>
      <c r="L36" s="50"/>
      <c r="M36" s="50"/>
      <c r="N36" s="50"/>
      <c r="O36" s="50"/>
      <c r="P36" s="51"/>
      <c r="Q36" s="52">
        <f>SUM(K36:P36)</f>
        <v>0</v>
      </c>
      <c r="R36" s="53">
        <f>J36+Q36</f>
        <v>0</v>
      </c>
      <c r="S36" s="45"/>
    </row>
    <row r="37" spans="1:19" s="46" customFormat="1" ht="13.5" customHeight="1" thickBot="1">
      <c r="A37" s="144"/>
      <c r="B37" s="20" t="s">
        <v>30</v>
      </c>
      <c r="C37" s="55" t="s">
        <v>6</v>
      </c>
      <c r="D37" s="65">
        <f aca="true" t="shared" si="11" ref="D37:R37">IF(D35=0,,D36/D35*1000)</f>
        <v>0</v>
      </c>
      <c r="E37" s="56">
        <f t="shared" si="11"/>
        <v>0</v>
      </c>
      <c r="F37" s="56">
        <f t="shared" si="11"/>
        <v>0</v>
      </c>
      <c r="G37" s="56">
        <f t="shared" si="11"/>
        <v>0</v>
      </c>
      <c r="H37" s="56">
        <f t="shared" si="11"/>
        <v>0</v>
      </c>
      <c r="I37" s="57">
        <f t="shared" si="11"/>
        <v>0</v>
      </c>
      <c r="J37" s="58">
        <f t="shared" si="11"/>
        <v>0</v>
      </c>
      <c r="K37" s="57">
        <f t="shared" si="11"/>
        <v>0</v>
      </c>
      <c r="L37" s="56">
        <f t="shared" si="11"/>
        <v>0</v>
      </c>
      <c r="M37" s="56">
        <f t="shared" si="11"/>
        <v>0</v>
      </c>
      <c r="N37" s="56">
        <f t="shared" si="11"/>
        <v>0</v>
      </c>
      <c r="O37" s="56">
        <f t="shared" si="11"/>
        <v>0</v>
      </c>
      <c r="P37" s="57">
        <f t="shared" si="11"/>
        <v>0</v>
      </c>
      <c r="Q37" s="58">
        <f t="shared" si="11"/>
        <v>0</v>
      </c>
      <c r="R37" s="59">
        <f t="shared" si="11"/>
        <v>0</v>
      </c>
      <c r="S37" s="60"/>
    </row>
    <row r="38" spans="1:19" s="46" customFormat="1" ht="13.5" customHeight="1">
      <c r="A38" s="142" t="s">
        <v>52</v>
      </c>
      <c r="B38" s="47" t="s">
        <v>26</v>
      </c>
      <c r="C38" s="48" t="s">
        <v>4</v>
      </c>
      <c r="D38" s="66">
        <v>70</v>
      </c>
      <c r="E38" s="67">
        <v>99</v>
      </c>
      <c r="F38" s="67">
        <v>36</v>
      </c>
      <c r="G38" s="67">
        <v>59</v>
      </c>
      <c r="H38" s="111">
        <v>24</v>
      </c>
      <c r="I38" s="68">
        <v>292</v>
      </c>
      <c r="J38" s="108">
        <f>SUM(D38:I38)</f>
        <v>580</v>
      </c>
      <c r="K38" s="68">
        <v>166</v>
      </c>
      <c r="L38" s="67">
        <v>378</v>
      </c>
      <c r="M38" s="111">
        <v>160</v>
      </c>
      <c r="N38" s="67">
        <v>55</v>
      </c>
      <c r="O38" s="67">
        <v>0</v>
      </c>
      <c r="P38" s="68">
        <v>12</v>
      </c>
      <c r="Q38" s="108">
        <f>SUM(K38:P38)</f>
        <v>771</v>
      </c>
      <c r="R38" s="109">
        <f>J38+Q38</f>
        <v>1351</v>
      </c>
      <c r="S38" s="45"/>
    </row>
    <row r="39" spans="1:19" s="46" customFormat="1" ht="13.5" customHeight="1">
      <c r="A39" s="143"/>
      <c r="B39" s="47" t="s">
        <v>28</v>
      </c>
      <c r="C39" s="48" t="s">
        <v>5</v>
      </c>
      <c r="D39" s="66">
        <v>16075</v>
      </c>
      <c r="E39" s="67">
        <v>23330</v>
      </c>
      <c r="F39" s="67">
        <v>11004</v>
      </c>
      <c r="G39" s="67">
        <f>8847+1130</f>
        <v>9977</v>
      </c>
      <c r="H39" s="67">
        <v>16598</v>
      </c>
      <c r="I39" s="68">
        <v>47633</v>
      </c>
      <c r="J39" s="108">
        <f>SUM(D39:I39)</f>
        <v>124617</v>
      </c>
      <c r="K39" s="107">
        <v>26425</v>
      </c>
      <c r="L39" s="106">
        <v>74291</v>
      </c>
      <c r="M39" s="106">
        <v>33961</v>
      </c>
      <c r="N39" s="106">
        <v>16920</v>
      </c>
      <c r="O39" s="106">
        <v>5066</v>
      </c>
      <c r="P39" s="107">
        <v>12702</v>
      </c>
      <c r="Q39" s="108">
        <f>SUM(K39:P39)</f>
        <v>169365</v>
      </c>
      <c r="R39" s="109">
        <f>J39+Q39</f>
        <v>293982</v>
      </c>
      <c r="S39" s="45"/>
    </row>
    <row r="40" spans="1:19" s="46" customFormat="1" ht="13.5" customHeight="1" thickBot="1">
      <c r="A40" s="144"/>
      <c r="B40" s="20" t="s">
        <v>30</v>
      </c>
      <c r="C40" s="55" t="s">
        <v>6</v>
      </c>
      <c r="D40" s="65">
        <f aca="true" t="shared" si="12" ref="D40:I40">IF(D38=0,,D39/D38*1000)</f>
        <v>229642.85714285713</v>
      </c>
      <c r="E40" s="56">
        <f t="shared" si="12"/>
        <v>235656.56565656565</v>
      </c>
      <c r="F40" s="56">
        <f t="shared" si="12"/>
        <v>305666.6666666667</v>
      </c>
      <c r="G40" s="56">
        <f t="shared" si="12"/>
        <v>169101.69491525422</v>
      </c>
      <c r="H40" s="56">
        <f t="shared" si="12"/>
        <v>691583.3333333334</v>
      </c>
      <c r="I40" s="57">
        <f t="shared" si="12"/>
        <v>163126.7123287671</v>
      </c>
      <c r="J40" s="58">
        <f aca="true" t="shared" si="13" ref="J40:R40">IF(J38=0,,J39/J38*1000)</f>
        <v>214856.89655172414</v>
      </c>
      <c r="K40" s="57">
        <f t="shared" si="13"/>
        <v>159186.7469879518</v>
      </c>
      <c r="L40" s="56">
        <f t="shared" si="13"/>
        <v>196537.03703703705</v>
      </c>
      <c r="M40" s="56">
        <f t="shared" si="13"/>
        <v>212256.25</v>
      </c>
      <c r="N40" s="56">
        <f t="shared" si="13"/>
        <v>307636.36363636365</v>
      </c>
      <c r="O40" s="56">
        <f t="shared" si="13"/>
        <v>0</v>
      </c>
      <c r="P40" s="57">
        <f t="shared" si="13"/>
        <v>1058500</v>
      </c>
      <c r="Q40" s="58">
        <f t="shared" si="13"/>
        <v>219669.2607003891</v>
      </c>
      <c r="R40" s="59">
        <f t="shared" si="13"/>
        <v>217603.25684678016</v>
      </c>
      <c r="S40" s="60"/>
    </row>
    <row r="41" spans="1:19" s="46" customFormat="1" ht="18" customHeight="1">
      <c r="A41" s="142" t="s">
        <v>7</v>
      </c>
      <c r="B41" s="47" t="s">
        <v>26</v>
      </c>
      <c r="C41" s="48" t="s">
        <v>4</v>
      </c>
      <c r="D41" s="105">
        <f aca="true" t="shared" si="14" ref="D41:I42">D5+D8+D11+D14+D17+D20+D23+D26+D29+D32+D35+D38</f>
        <v>70</v>
      </c>
      <c r="E41" s="106">
        <f t="shared" si="14"/>
        <v>99</v>
      </c>
      <c r="F41" s="106">
        <f t="shared" si="14"/>
        <v>36</v>
      </c>
      <c r="G41" s="106">
        <f t="shared" si="14"/>
        <v>59</v>
      </c>
      <c r="H41" s="110">
        <f t="shared" si="14"/>
        <v>24</v>
      </c>
      <c r="I41" s="107">
        <f t="shared" si="14"/>
        <v>292</v>
      </c>
      <c r="J41" s="108">
        <f>SUM(D41:I41)</f>
        <v>580</v>
      </c>
      <c r="K41" s="107">
        <f aca="true" t="shared" si="15" ref="K41:P42">K5+K8+K11+K14+K17+K20+K23+K26+K29+K32+K35+K38</f>
        <v>166</v>
      </c>
      <c r="L41" s="106">
        <f t="shared" si="15"/>
        <v>378</v>
      </c>
      <c r="M41" s="110">
        <f t="shared" si="15"/>
        <v>160</v>
      </c>
      <c r="N41" s="106">
        <f t="shared" si="15"/>
        <v>55</v>
      </c>
      <c r="O41" s="106">
        <f t="shared" si="15"/>
        <v>0</v>
      </c>
      <c r="P41" s="107">
        <f t="shared" si="15"/>
        <v>12</v>
      </c>
      <c r="Q41" s="108">
        <f>SUM(K41:P41)</f>
        <v>771</v>
      </c>
      <c r="R41" s="109">
        <f>J41+Q41</f>
        <v>1351</v>
      </c>
      <c r="S41" s="45"/>
    </row>
    <row r="42" spans="1:19" s="46" customFormat="1" ht="18" customHeight="1">
      <c r="A42" s="143"/>
      <c r="B42" s="47" t="s">
        <v>28</v>
      </c>
      <c r="C42" s="48" t="s">
        <v>5</v>
      </c>
      <c r="D42" s="66">
        <f t="shared" si="14"/>
        <v>16075</v>
      </c>
      <c r="E42" s="106">
        <f t="shared" si="14"/>
        <v>23330</v>
      </c>
      <c r="F42" s="106">
        <f t="shared" si="14"/>
        <v>11004</v>
      </c>
      <c r="G42" s="67">
        <f t="shared" si="14"/>
        <v>9977</v>
      </c>
      <c r="H42" s="67">
        <f t="shared" si="14"/>
        <v>16598</v>
      </c>
      <c r="I42" s="107">
        <f t="shared" si="14"/>
        <v>47633</v>
      </c>
      <c r="J42" s="108">
        <f>SUM(D42:I42)</f>
        <v>124617</v>
      </c>
      <c r="K42" s="107">
        <f t="shared" si="15"/>
        <v>26425</v>
      </c>
      <c r="L42" s="106">
        <f t="shared" si="15"/>
        <v>74291</v>
      </c>
      <c r="M42" s="106">
        <f t="shared" si="15"/>
        <v>33961</v>
      </c>
      <c r="N42" s="106">
        <f t="shared" si="15"/>
        <v>16920</v>
      </c>
      <c r="O42" s="106">
        <f t="shared" si="15"/>
        <v>5066</v>
      </c>
      <c r="P42" s="107">
        <f t="shared" si="15"/>
        <v>12702</v>
      </c>
      <c r="Q42" s="108">
        <f>SUM(K42:P42)</f>
        <v>169365</v>
      </c>
      <c r="R42" s="109">
        <f>J42+Q42</f>
        <v>293982</v>
      </c>
      <c r="S42" s="45"/>
    </row>
    <row r="43" spans="1:19" s="46" customFormat="1" ht="18" customHeight="1" thickBot="1">
      <c r="A43" s="145"/>
      <c r="B43" s="20" t="s">
        <v>30</v>
      </c>
      <c r="C43" s="55" t="s">
        <v>6</v>
      </c>
      <c r="D43" s="65">
        <f aca="true" t="shared" si="16" ref="D43:I43">IF(D41=0,,D42/D41*1000)</f>
        <v>229642.85714285713</v>
      </c>
      <c r="E43" s="56">
        <f t="shared" si="16"/>
        <v>235656.56565656565</v>
      </c>
      <c r="F43" s="56">
        <f t="shared" si="16"/>
        <v>305666.6666666667</v>
      </c>
      <c r="G43" s="56">
        <f t="shared" si="16"/>
        <v>169101.69491525422</v>
      </c>
      <c r="H43" s="56">
        <f t="shared" si="16"/>
        <v>691583.3333333334</v>
      </c>
      <c r="I43" s="57">
        <f t="shared" si="16"/>
        <v>163126.7123287671</v>
      </c>
      <c r="J43" s="58">
        <f aca="true" t="shared" si="17" ref="J43:R43">IF(J41=0,,J42/J41*1000)</f>
        <v>214856.89655172414</v>
      </c>
      <c r="K43" s="57">
        <f t="shared" si="17"/>
        <v>159186.7469879518</v>
      </c>
      <c r="L43" s="56">
        <f t="shared" si="17"/>
        <v>196537.03703703705</v>
      </c>
      <c r="M43" s="56">
        <f t="shared" si="17"/>
        <v>212256.25</v>
      </c>
      <c r="N43" s="56">
        <f t="shared" si="17"/>
        <v>307636.36363636365</v>
      </c>
      <c r="O43" s="56">
        <f t="shared" si="17"/>
        <v>0</v>
      </c>
      <c r="P43" s="57">
        <f t="shared" si="17"/>
        <v>1058500</v>
      </c>
      <c r="Q43" s="58">
        <f t="shared" si="17"/>
        <v>219669.2607003891</v>
      </c>
      <c r="R43" s="59">
        <f t="shared" si="17"/>
        <v>217603.25684678016</v>
      </c>
      <c r="S43" s="60"/>
    </row>
    <row r="44" spans="1:19" s="46" customFormat="1" ht="24" customHeight="1" thickBot="1">
      <c r="A44" s="146" t="s">
        <v>23</v>
      </c>
      <c r="B44" s="147"/>
      <c r="C44" s="148"/>
      <c r="D44" s="85">
        <v>106.25</v>
      </c>
      <c r="E44" s="86">
        <v>110.39</v>
      </c>
      <c r="F44" s="127">
        <v>111.1</v>
      </c>
      <c r="G44" s="87">
        <v>108.75</v>
      </c>
      <c r="H44" s="87">
        <v>110.45</v>
      </c>
      <c r="I44" s="61">
        <v>109.73</v>
      </c>
      <c r="J44" s="62">
        <v>109.55</v>
      </c>
      <c r="K44" s="63">
        <v>110.29</v>
      </c>
      <c r="L44" s="112">
        <v>106.67</v>
      </c>
      <c r="M44" s="64">
        <v>103.64</v>
      </c>
      <c r="N44" s="64">
        <v>103.66</v>
      </c>
      <c r="O44" s="87">
        <v>103.83</v>
      </c>
      <c r="P44" s="88">
        <v>104.83</v>
      </c>
      <c r="Q44" s="89">
        <v>105.35</v>
      </c>
      <c r="R44" s="84">
        <v>107.34</v>
      </c>
      <c r="S44" s="45"/>
    </row>
    <row r="45" ht="15.75" customHeight="1">
      <c r="A45" s="113"/>
    </row>
  </sheetData>
  <mergeCells count="15">
    <mergeCell ref="D2:P2"/>
    <mergeCell ref="A5:A7"/>
    <mergeCell ref="A8:A10"/>
    <mergeCell ref="A11:A13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&amp;C&amp;20-7-</oddFooter>
  </headerFooter>
  <colBreaks count="1" manualBreakCount="1">
    <brk id="18" min="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zoomScaleSheetLayoutView="40" workbookViewId="0" topLeftCell="A1">
      <selection activeCell="Q3" sqref="Q3:R3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57421875" style="0" bestFit="1" customWidth="1"/>
    <col min="11" max="16" width="10.28125" style="0" customWidth="1"/>
    <col min="17" max="18" width="12.140625" style="0" customWidth="1"/>
    <col min="19" max="19" width="6.8515625" style="0" customWidth="1"/>
  </cols>
  <sheetData>
    <row r="2" spans="1:16" ht="27" customHeight="1">
      <c r="A2" s="17" t="s">
        <v>7</v>
      </c>
      <c r="B2" s="34" t="s">
        <v>75</v>
      </c>
      <c r="C2" s="1"/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8" customHeight="1" thickBot="1">
      <c r="A3" s="21" t="s">
        <v>71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6" t="s">
        <v>32</v>
      </c>
      <c r="B5" s="47" t="s">
        <v>26</v>
      </c>
      <c r="C5" s="48" t="s">
        <v>4</v>
      </c>
      <c r="D5" s="105">
        <f>'P一般'!D5+'B一般'!D5</f>
        <v>407143</v>
      </c>
      <c r="E5" s="106">
        <f>'P一般'!E5+'B一般'!E5</f>
        <v>576202</v>
      </c>
      <c r="F5" s="106">
        <f>'P一般'!F5+'B一般'!F5</f>
        <v>429290</v>
      </c>
      <c r="G5" s="106">
        <f>'P一般'!G5+'B一般'!G5</f>
        <v>252035</v>
      </c>
      <c r="H5" s="106">
        <f>'P一般'!H5+'B一般'!H5</f>
        <v>468354</v>
      </c>
      <c r="I5" s="107">
        <f>'P一般'!I5+'B一般'!I5</f>
        <v>297422</v>
      </c>
      <c r="J5" s="108">
        <f>SUM(D5:I5)</f>
        <v>2430446</v>
      </c>
      <c r="K5" s="107">
        <f>'P一般'!K5+'B一般'!K5</f>
        <v>525925</v>
      </c>
      <c r="L5" s="106">
        <f>'P一般'!L5+'B一般'!L5</f>
        <v>368376</v>
      </c>
      <c r="M5" s="106">
        <f>'P一般'!M5+'B一般'!M5</f>
        <v>382180</v>
      </c>
      <c r="N5" s="106">
        <f>'P一般'!N5+'B一般'!N5</f>
        <v>440317</v>
      </c>
      <c r="O5" s="106">
        <f>'P一般'!O5+'B一般'!O5</f>
        <v>461630</v>
      </c>
      <c r="P5" s="107">
        <f>'P一般'!P5+'B一般'!P5</f>
        <v>530390</v>
      </c>
      <c r="Q5" s="108">
        <f>SUM(K5:P5)</f>
        <v>2708818</v>
      </c>
      <c r="R5" s="109">
        <f>J5+Q5</f>
        <v>5139264</v>
      </c>
      <c r="S5" s="45"/>
    </row>
    <row r="6" spans="1:19" s="46" customFormat="1" ht="13.5" customHeight="1">
      <c r="A6" s="143"/>
      <c r="B6" s="47" t="s">
        <v>28</v>
      </c>
      <c r="C6" s="48" t="s">
        <v>5</v>
      </c>
      <c r="D6" s="105">
        <f>'P一般'!D6+'B一般'!D6</f>
        <v>13514689</v>
      </c>
      <c r="E6" s="106">
        <f>'P一般'!E6+'B一般'!E6</f>
        <v>21668652</v>
      </c>
      <c r="F6" s="106">
        <f>'P一般'!F6+'B一般'!F6</f>
        <v>17156155</v>
      </c>
      <c r="G6" s="106">
        <f>'P一般'!G6+'B一般'!G6</f>
        <v>9868703</v>
      </c>
      <c r="H6" s="106">
        <f>'P一般'!H6+'B一般'!H6</f>
        <v>18275623</v>
      </c>
      <c r="I6" s="107">
        <f>'P一般'!I6+'B一般'!I6</f>
        <v>12523780</v>
      </c>
      <c r="J6" s="108">
        <f>SUM(D6:I6)</f>
        <v>93007602</v>
      </c>
      <c r="K6" s="107">
        <f>'P一般'!K6+'B一般'!K6</f>
        <v>24332767</v>
      </c>
      <c r="L6" s="106">
        <f>'P一般'!L6+'B一般'!L6</f>
        <v>18447325</v>
      </c>
      <c r="M6" s="106">
        <f>'P一般'!M6+'B一般'!M6</f>
        <v>18373438</v>
      </c>
      <c r="N6" s="106">
        <f>'P一般'!N6+'B一般'!N6</f>
        <v>20430057</v>
      </c>
      <c r="O6" s="106">
        <f>'P一般'!O6+'B一般'!O6</f>
        <v>19150528</v>
      </c>
      <c r="P6" s="107">
        <f>'P一般'!P6+'B一般'!P6</f>
        <v>23018018</v>
      </c>
      <c r="Q6" s="108">
        <f>SUM(K6:P6)</f>
        <v>123752133</v>
      </c>
      <c r="R6" s="109">
        <f>J6+Q6</f>
        <v>216759735</v>
      </c>
      <c r="S6" s="45"/>
    </row>
    <row r="7" spans="1:19" s="46" customFormat="1" ht="13.5" customHeight="1" thickBot="1">
      <c r="A7" s="144"/>
      <c r="B7" s="20" t="s">
        <v>30</v>
      </c>
      <c r="C7" s="55" t="s">
        <v>6</v>
      </c>
      <c r="D7" s="65">
        <f aca="true" t="shared" si="0" ref="D7:R7">IF(D5=0,"",(D6/D5)*1000)</f>
        <v>33193.961335452164</v>
      </c>
      <c r="E7" s="56">
        <f t="shared" si="0"/>
        <v>37605.99928497298</v>
      </c>
      <c r="F7" s="56">
        <f t="shared" si="0"/>
        <v>39964.021989797104</v>
      </c>
      <c r="G7" s="56">
        <f t="shared" si="0"/>
        <v>39156.08149661753</v>
      </c>
      <c r="H7" s="56">
        <f t="shared" si="0"/>
        <v>39020.960640882746</v>
      </c>
      <c r="I7" s="57">
        <f t="shared" si="0"/>
        <v>42107.779518663716</v>
      </c>
      <c r="J7" s="58">
        <f t="shared" si="0"/>
        <v>38267.70971253836</v>
      </c>
      <c r="K7" s="57">
        <f t="shared" si="0"/>
        <v>46266.61025811665</v>
      </c>
      <c r="L7" s="56">
        <f t="shared" si="0"/>
        <v>50077.434469129366</v>
      </c>
      <c r="M7" s="56">
        <f t="shared" si="0"/>
        <v>48075.351928410695</v>
      </c>
      <c r="N7" s="56">
        <f t="shared" si="0"/>
        <v>46398.51970285044</v>
      </c>
      <c r="O7" s="56">
        <f t="shared" si="0"/>
        <v>41484.58289105994</v>
      </c>
      <c r="P7" s="57">
        <f t="shared" si="0"/>
        <v>43398.288052188014</v>
      </c>
      <c r="Q7" s="58">
        <f t="shared" si="0"/>
        <v>45684.91976943449</v>
      </c>
      <c r="R7" s="59">
        <f t="shared" si="0"/>
        <v>42177.19404957598</v>
      </c>
      <c r="S7" s="45"/>
    </row>
    <row r="8" spans="1:19" s="46" customFormat="1" ht="13.5" customHeight="1">
      <c r="A8" s="142" t="s">
        <v>33</v>
      </c>
      <c r="B8" s="47" t="s">
        <v>26</v>
      </c>
      <c r="C8" s="48" t="s">
        <v>4</v>
      </c>
      <c r="D8" s="105">
        <f>'P一般'!D8+'B一般'!D8</f>
        <v>178582</v>
      </c>
      <c r="E8" s="106">
        <f>'P一般'!E8+'B一般'!E8</f>
        <v>135799</v>
      </c>
      <c r="F8" s="106">
        <f>'P一般'!F8+'B一般'!F8</f>
        <v>172006</v>
      </c>
      <c r="G8" s="106">
        <f>'P一般'!G8+'B一般'!G8</f>
        <v>87139</v>
      </c>
      <c r="H8" s="106">
        <f>'P一般'!H8+'B一般'!H8</f>
        <v>147876</v>
      </c>
      <c r="I8" s="107">
        <f>'P一般'!I8+'B一般'!I8</f>
        <v>150977</v>
      </c>
      <c r="J8" s="108">
        <f>SUM(D8:I8)</f>
        <v>872379</v>
      </c>
      <c r="K8" s="107">
        <f>'P一般'!K8+'B一般'!K8</f>
        <v>87877</v>
      </c>
      <c r="L8" s="106">
        <f>'P一般'!L8+'B一般'!L8</f>
        <v>105502</v>
      </c>
      <c r="M8" s="106">
        <f>'P一般'!M8+'B一般'!M8</f>
        <v>100987</v>
      </c>
      <c r="N8" s="106">
        <f>'P一般'!N8+'B一般'!N8</f>
        <v>122390</v>
      </c>
      <c r="O8" s="106">
        <f>'P一般'!O8+'B一般'!O8</f>
        <v>161283</v>
      </c>
      <c r="P8" s="107">
        <f>'P一般'!P8+'B一般'!P8</f>
        <v>79175</v>
      </c>
      <c r="Q8" s="108">
        <f>SUM(K8:P8)</f>
        <v>657214</v>
      </c>
      <c r="R8" s="109">
        <f>J8+Q8</f>
        <v>1529593</v>
      </c>
      <c r="S8" s="45"/>
    </row>
    <row r="9" spans="1:19" s="46" customFormat="1" ht="13.5" customHeight="1">
      <c r="A9" s="143"/>
      <c r="B9" s="47" t="s">
        <v>28</v>
      </c>
      <c r="C9" s="48" t="s">
        <v>5</v>
      </c>
      <c r="D9" s="105">
        <f>'P一般'!D9+'B一般'!D9</f>
        <v>5713760</v>
      </c>
      <c r="E9" s="106">
        <f>'P一般'!E9+'B一般'!E9</f>
        <v>4846142</v>
      </c>
      <c r="F9" s="133">
        <f>'P一般'!F9+'B一般'!F9</f>
        <v>6770157</v>
      </c>
      <c r="G9" s="106">
        <f>'P一般'!G9+'B一般'!G9</f>
        <v>3440606</v>
      </c>
      <c r="H9" s="106">
        <f>'P一般'!H9+'B一般'!H9</f>
        <v>5799029</v>
      </c>
      <c r="I9" s="107">
        <f>'P一般'!I9+'B一般'!I9</f>
        <v>6228896</v>
      </c>
      <c r="J9" s="131">
        <f>SUM(D9:I9)</f>
        <v>32798590</v>
      </c>
      <c r="K9" s="107">
        <f>'P一般'!K9+'B一般'!K9</f>
        <v>4041065</v>
      </c>
      <c r="L9" s="106">
        <f>'P一般'!L9+'B一般'!L9</f>
        <v>5022333</v>
      </c>
      <c r="M9" s="106">
        <f>'P一般'!M9+'B一般'!M9</f>
        <v>5083049</v>
      </c>
      <c r="N9" s="106">
        <f>'P一般'!N9+'B一般'!N9</f>
        <v>5644257</v>
      </c>
      <c r="O9" s="106">
        <f>'P一般'!O9+'B一般'!O9</f>
        <v>6810978</v>
      </c>
      <c r="P9" s="107">
        <f>'P一般'!P9+'B一般'!P9</f>
        <v>3285495</v>
      </c>
      <c r="Q9" s="108">
        <f>SUM(K9:P9)</f>
        <v>29887177</v>
      </c>
      <c r="R9" s="134">
        <f>J9+Q9</f>
        <v>62685767</v>
      </c>
      <c r="S9" s="45"/>
    </row>
    <row r="10" spans="1:19" s="46" customFormat="1" ht="13.5" customHeight="1" thickBot="1">
      <c r="A10" s="144"/>
      <c r="B10" s="20" t="s">
        <v>30</v>
      </c>
      <c r="C10" s="55" t="s">
        <v>6</v>
      </c>
      <c r="D10" s="65">
        <f aca="true" t="shared" si="1" ref="D10:R10">IF(D8=0,"",(D9/D8)*1000)</f>
        <v>31995.161886416325</v>
      </c>
      <c r="E10" s="56">
        <f t="shared" si="1"/>
        <v>35686.13907318906</v>
      </c>
      <c r="F10" s="130">
        <f t="shared" si="1"/>
        <v>39360.00488355057</v>
      </c>
      <c r="G10" s="56">
        <f t="shared" si="1"/>
        <v>39484.111591824556</v>
      </c>
      <c r="H10" s="56">
        <f t="shared" si="1"/>
        <v>39215.48459520138</v>
      </c>
      <c r="I10" s="57">
        <f t="shared" si="1"/>
        <v>41257.25110447287</v>
      </c>
      <c r="J10" s="132">
        <f t="shared" si="1"/>
        <v>37596.7211498672</v>
      </c>
      <c r="K10" s="57">
        <f t="shared" si="1"/>
        <v>45985.46832504523</v>
      </c>
      <c r="L10" s="56">
        <f t="shared" si="1"/>
        <v>47604.14968436617</v>
      </c>
      <c r="M10" s="56">
        <f t="shared" si="1"/>
        <v>50333.696416370425</v>
      </c>
      <c r="N10" s="56">
        <f t="shared" si="1"/>
        <v>46116.97851131628</v>
      </c>
      <c r="O10" s="56">
        <f t="shared" si="1"/>
        <v>42229.980841130186</v>
      </c>
      <c r="P10" s="57">
        <f t="shared" si="1"/>
        <v>41496.62140827282</v>
      </c>
      <c r="Q10" s="58">
        <f t="shared" si="1"/>
        <v>45475.56351508032</v>
      </c>
      <c r="R10" s="135">
        <f t="shared" si="1"/>
        <v>40981.99128787854</v>
      </c>
      <c r="S10" s="45"/>
    </row>
    <row r="11" spans="1:19" s="46" customFormat="1" ht="13.5" customHeight="1">
      <c r="A11" s="142" t="s">
        <v>35</v>
      </c>
      <c r="B11" s="47" t="s">
        <v>26</v>
      </c>
      <c r="C11" s="48" t="s">
        <v>4</v>
      </c>
      <c r="D11" s="105">
        <f>'P一般'!D11+'B一般'!D11</f>
        <v>0</v>
      </c>
      <c r="E11" s="106">
        <f>'P一般'!E11+'B一般'!E11</f>
        <v>18179</v>
      </c>
      <c r="F11" s="106">
        <f>'P一般'!F11+'B一般'!F11</f>
        <v>69299</v>
      </c>
      <c r="G11" s="106">
        <f>'P一般'!G11+'B一般'!G11</f>
        <v>25320</v>
      </c>
      <c r="H11" s="106">
        <f>'P一般'!H11+'B一般'!H11</f>
        <v>46931</v>
      </c>
      <c r="I11" s="107">
        <f>'P一般'!I11+'B一般'!I11</f>
        <v>45043</v>
      </c>
      <c r="J11" s="108">
        <f>SUM(D11:I11)</f>
        <v>204772</v>
      </c>
      <c r="K11" s="107">
        <f>'P一般'!K11+'B一般'!K11</f>
        <v>15999</v>
      </c>
      <c r="L11" s="106">
        <f>'P一般'!L11+'B一般'!L11</f>
        <v>46869</v>
      </c>
      <c r="M11" s="106">
        <f>'P一般'!M11+'B一般'!M11</f>
        <v>43141</v>
      </c>
      <c r="N11" s="106">
        <f>'P一般'!N11+'B一般'!N11</f>
        <v>43394</v>
      </c>
      <c r="O11" s="106">
        <f>'P一般'!O11+'B一般'!O11</f>
        <v>81332</v>
      </c>
      <c r="P11" s="107">
        <f>'P一般'!P11+'B一般'!P11</f>
        <v>57004</v>
      </c>
      <c r="Q11" s="108">
        <f>SUM(K11:P11)</f>
        <v>287739</v>
      </c>
      <c r="R11" s="109">
        <f>J11+Q11</f>
        <v>492511</v>
      </c>
      <c r="S11" s="45"/>
    </row>
    <row r="12" spans="1:19" s="46" customFormat="1" ht="13.5" customHeight="1">
      <c r="A12" s="143"/>
      <c r="B12" s="47" t="s">
        <v>28</v>
      </c>
      <c r="C12" s="48" t="s">
        <v>5</v>
      </c>
      <c r="D12" s="105">
        <f>'P一般'!D12+'B一般'!D12</f>
        <v>0</v>
      </c>
      <c r="E12" s="106">
        <f>'P一般'!E12+'B一般'!E12</f>
        <v>644465</v>
      </c>
      <c r="F12" s="106">
        <f>'P一般'!F12+'B一般'!F12</f>
        <v>2704976</v>
      </c>
      <c r="G12" s="106">
        <f>'P一般'!G12+'B一般'!G12</f>
        <v>960063</v>
      </c>
      <c r="H12" s="106">
        <f>'P一般'!H12+'B一般'!H12</f>
        <v>1783060</v>
      </c>
      <c r="I12" s="107">
        <f>'P一般'!I12+'B一般'!I12</f>
        <v>1948203</v>
      </c>
      <c r="J12" s="108">
        <f>SUM(D12:I12)</f>
        <v>8040767</v>
      </c>
      <c r="K12" s="107">
        <f>'P一般'!K12+'B一般'!K12</f>
        <v>727674</v>
      </c>
      <c r="L12" s="106">
        <f>'P一般'!L12+'B一般'!L12</f>
        <v>2373343</v>
      </c>
      <c r="M12" s="106">
        <f>'P一般'!M12+'B一般'!M12</f>
        <v>2250683</v>
      </c>
      <c r="N12" s="106">
        <f>'P一般'!N12+'B一般'!N12</f>
        <v>2089572</v>
      </c>
      <c r="O12" s="106">
        <f>'P一般'!O12+'B一般'!O12</f>
        <v>3408608</v>
      </c>
      <c r="P12" s="107">
        <f>'P一般'!P12+'B一般'!P12</f>
        <v>2439297</v>
      </c>
      <c r="Q12" s="108">
        <f>SUM(K12:P12)</f>
        <v>13289177</v>
      </c>
      <c r="R12" s="109">
        <f>J12+Q12</f>
        <v>21329944</v>
      </c>
      <c r="S12" s="45"/>
    </row>
    <row r="13" spans="1:19" s="46" customFormat="1" ht="13.5" customHeight="1" thickBot="1">
      <c r="A13" s="144"/>
      <c r="B13" s="20" t="s">
        <v>30</v>
      </c>
      <c r="C13" s="55" t="s">
        <v>6</v>
      </c>
      <c r="D13" s="65">
        <f aca="true" t="shared" si="2" ref="D13:R13">IF(D11=0,"",(D12/D11)*1000)</f>
      </c>
      <c r="E13" s="56">
        <f t="shared" si="2"/>
        <v>35451.06991583695</v>
      </c>
      <c r="F13" s="56">
        <f t="shared" si="2"/>
        <v>39033.40596545405</v>
      </c>
      <c r="G13" s="56">
        <f t="shared" si="2"/>
        <v>37917.18009478673</v>
      </c>
      <c r="H13" s="56">
        <f t="shared" si="2"/>
        <v>37993.2240949479</v>
      </c>
      <c r="I13" s="57">
        <f t="shared" si="2"/>
        <v>43252.070243989074</v>
      </c>
      <c r="J13" s="58">
        <f t="shared" si="2"/>
        <v>39266.926142246004</v>
      </c>
      <c r="K13" s="57">
        <f t="shared" si="2"/>
        <v>45482.467654228385</v>
      </c>
      <c r="L13" s="56">
        <f t="shared" si="2"/>
        <v>50637.7989716017</v>
      </c>
      <c r="M13" s="56">
        <f t="shared" si="2"/>
        <v>52170.39475209198</v>
      </c>
      <c r="N13" s="56">
        <f t="shared" si="2"/>
        <v>48153.47743927732</v>
      </c>
      <c r="O13" s="56">
        <f t="shared" si="2"/>
        <v>41909.801800029505</v>
      </c>
      <c r="P13" s="57">
        <f t="shared" si="2"/>
        <v>42791.681285523824</v>
      </c>
      <c r="Q13" s="58">
        <f t="shared" si="2"/>
        <v>46184.83069726384</v>
      </c>
      <c r="R13" s="59">
        <f t="shared" si="2"/>
        <v>43308.56366659831</v>
      </c>
      <c r="S13" s="45"/>
    </row>
    <row r="14" spans="1:19" s="46" customFormat="1" ht="13.5" customHeight="1">
      <c r="A14" s="142" t="s">
        <v>37</v>
      </c>
      <c r="B14" s="47" t="s">
        <v>26</v>
      </c>
      <c r="C14" s="48" t="s">
        <v>4</v>
      </c>
      <c r="D14" s="105">
        <f>'P一般'!D14+'B一般'!D14</f>
        <v>0</v>
      </c>
      <c r="E14" s="106">
        <f>'P一般'!E14+'B一般'!E14</f>
        <v>0</v>
      </c>
      <c r="F14" s="106">
        <f>'P一般'!F14+'B一般'!F14</f>
        <v>0</v>
      </c>
      <c r="G14" s="106">
        <f>'P一般'!G14+'B一般'!G14</f>
        <v>0</v>
      </c>
      <c r="H14" s="106">
        <f>'P一般'!H14+'B一般'!H14</f>
        <v>0</v>
      </c>
      <c r="I14" s="107">
        <f>'P一般'!I14+'B一般'!I14</f>
        <v>0</v>
      </c>
      <c r="J14" s="108">
        <f>SUM(D14:I14)</f>
        <v>0</v>
      </c>
      <c r="K14" s="107">
        <f>'P一般'!K14+'B一般'!K14</f>
        <v>0</v>
      </c>
      <c r="L14" s="106">
        <f>'P一般'!L14+'B一般'!L14</f>
        <v>0</v>
      </c>
      <c r="M14" s="106">
        <f>'P一般'!M14+'B一般'!M14</f>
        <v>0</v>
      </c>
      <c r="N14" s="106">
        <f>'P一般'!N14+'B一般'!N14</f>
        <v>0</v>
      </c>
      <c r="O14" s="106">
        <f>'P一般'!O14+'B一般'!O14</f>
        <v>0</v>
      </c>
      <c r="P14" s="107">
        <f>'P一般'!P14+'B一般'!P14</f>
        <v>0</v>
      </c>
      <c r="Q14" s="108">
        <f>SUM(K14:P14)</f>
        <v>0</v>
      </c>
      <c r="R14" s="109">
        <f>J14+Q14</f>
        <v>0</v>
      </c>
      <c r="S14" s="45"/>
    </row>
    <row r="15" spans="1:19" s="46" customFormat="1" ht="13.5" customHeight="1">
      <c r="A15" s="143"/>
      <c r="B15" s="47" t="s">
        <v>28</v>
      </c>
      <c r="C15" s="48" t="s">
        <v>5</v>
      </c>
      <c r="D15" s="105">
        <f>'P一般'!D15+'B一般'!D15</f>
        <v>0</v>
      </c>
      <c r="E15" s="106">
        <f>'P一般'!E15+'B一般'!E15</f>
        <v>0</v>
      </c>
      <c r="F15" s="106">
        <f>'P一般'!F15+'B一般'!F15</f>
        <v>0</v>
      </c>
      <c r="G15" s="106">
        <f>'P一般'!G15+'B一般'!G15</f>
        <v>0</v>
      </c>
      <c r="H15" s="106">
        <f>'P一般'!H15+'B一般'!H15</f>
        <v>0</v>
      </c>
      <c r="I15" s="107">
        <f>'P一般'!I15+'B一般'!I15</f>
        <v>0</v>
      </c>
      <c r="J15" s="108">
        <f>SUM(D15:I15)</f>
        <v>0</v>
      </c>
      <c r="K15" s="107">
        <f>'P一般'!K15+'B一般'!K15</f>
        <v>0</v>
      </c>
      <c r="L15" s="106">
        <f>'P一般'!L15+'B一般'!L15</f>
        <v>0</v>
      </c>
      <c r="M15" s="106">
        <f>'P一般'!M15+'B一般'!M15</f>
        <v>0</v>
      </c>
      <c r="N15" s="106">
        <f>'P一般'!N15+'B一般'!N15</f>
        <v>0</v>
      </c>
      <c r="O15" s="106">
        <f>'P一般'!O15+'B一般'!O15</f>
        <v>0</v>
      </c>
      <c r="P15" s="107">
        <f>'P一般'!P15+'B一般'!P15</f>
        <v>0</v>
      </c>
      <c r="Q15" s="108">
        <f>SUM(K15:P15)</f>
        <v>0</v>
      </c>
      <c r="R15" s="109">
        <f>J15+Q15</f>
        <v>0</v>
      </c>
      <c r="S15" s="45"/>
    </row>
    <row r="16" spans="1:19" s="46" customFormat="1" ht="13.5" customHeight="1" thickBot="1">
      <c r="A16" s="144"/>
      <c r="B16" s="20" t="s">
        <v>30</v>
      </c>
      <c r="C16" s="55" t="s">
        <v>6</v>
      </c>
      <c r="D16" s="65">
        <f aca="true" t="shared" si="3" ref="D16:R16">IF(D14=0,"",(D15/D14)*1000)</f>
      </c>
      <c r="E16" s="56">
        <f t="shared" si="3"/>
      </c>
      <c r="F16" s="56">
        <f t="shared" si="3"/>
      </c>
      <c r="G16" s="56">
        <f t="shared" si="3"/>
      </c>
      <c r="H16" s="56">
        <f t="shared" si="3"/>
      </c>
      <c r="I16" s="57">
        <f t="shared" si="3"/>
      </c>
      <c r="J16" s="58">
        <f t="shared" si="3"/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</c>
      <c r="Q16" s="58">
        <f t="shared" si="3"/>
      </c>
      <c r="R16" s="59">
        <f t="shared" si="3"/>
      </c>
      <c r="S16" s="45"/>
    </row>
    <row r="17" spans="1:19" s="46" customFormat="1" ht="13.5" customHeight="1">
      <c r="A17" s="142" t="s">
        <v>39</v>
      </c>
      <c r="B17" s="47" t="s">
        <v>26</v>
      </c>
      <c r="C17" s="48" t="s">
        <v>4</v>
      </c>
      <c r="D17" s="105">
        <f>'P一般'!D17+'B一般'!D17</f>
        <v>38454</v>
      </c>
      <c r="E17" s="106">
        <f>'P一般'!E17+'B一般'!E17</f>
        <v>160883</v>
      </c>
      <c r="F17" s="106">
        <f>'P一般'!F17+'B一般'!F17</f>
        <v>95971</v>
      </c>
      <c r="G17" s="106">
        <f>'P一般'!G17+'B一般'!G17</f>
        <v>68399</v>
      </c>
      <c r="H17" s="106">
        <f>'P一般'!H17+'B一般'!H17</f>
        <v>80701</v>
      </c>
      <c r="I17" s="107">
        <f>'P一般'!I17+'B一般'!I17</f>
        <v>106131</v>
      </c>
      <c r="J17" s="108">
        <f>SUM(D17:I17)</f>
        <v>550539</v>
      </c>
      <c r="K17" s="107">
        <f>'P一般'!K17+'B一般'!K17</f>
        <v>73467</v>
      </c>
      <c r="L17" s="106">
        <f>'P一般'!L17+'B一般'!L17</f>
        <v>168418</v>
      </c>
      <c r="M17" s="106">
        <f>'P一般'!M17+'B一般'!M17</f>
        <v>154590</v>
      </c>
      <c r="N17" s="106">
        <f>'P一般'!N17+'B一般'!N17</f>
        <v>121008</v>
      </c>
      <c r="O17" s="106">
        <f>'P一般'!O17+'B一般'!O17</f>
        <v>70476</v>
      </c>
      <c r="P17" s="107">
        <f>'P一般'!P17+'B一般'!P17</f>
        <v>237552</v>
      </c>
      <c r="Q17" s="108">
        <f>SUM(K17:P17)</f>
        <v>825511</v>
      </c>
      <c r="R17" s="109">
        <f>J17+Q17</f>
        <v>1376050</v>
      </c>
      <c r="S17" s="45"/>
    </row>
    <row r="18" spans="1:19" s="46" customFormat="1" ht="13.5" customHeight="1">
      <c r="A18" s="143"/>
      <c r="B18" s="47" t="s">
        <v>28</v>
      </c>
      <c r="C18" s="48" t="s">
        <v>5</v>
      </c>
      <c r="D18" s="105">
        <f>'P一般'!D18+'B一般'!D18</f>
        <v>1262487</v>
      </c>
      <c r="E18" s="106">
        <f>'P一般'!E18+'B一般'!E18</f>
        <v>5844178</v>
      </c>
      <c r="F18" s="106">
        <f>'P一般'!F18+'B一般'!F18</f>
        <v>3710265</v>
      </c>
      <c r="G18" s="106">
        <f>'P一般'!G18+'B一般'!G18</f>
        <v>2633756</v>
      </c>
      <c r="H18" s="106">
        <f>'P一般'!H18+'B一般'!H18</f>
        <v>3180653</v>
      </c>
      <c r="I18" s="107">
        <f>'P一般'!I18+'B一般'!I18</f>
        <v>4555061</v>
      </c>
      <c r="J18" s="108">
        <f>SUM(D18:I18)</f>
        <v>21186400</v>
      </c>
      <c r="K18" s="107">
        <f>'P一般'!K18+'B一般'!K18</f>
        <v>3406043</v>
      </c>
      <c r="L18" s="106">
        <f>'P一般'!L18+'B一般'!L18</f>
        <v>8188891</v>
      </c>
      <c r="M18" s="106">
        <f>'P一般'!M18+'B一般'!M18</f>
        <v>7569865</v>
      </c>
      <c r="N18" s="106">
        <f>'P一般'!N18+'B一般'!N18</f>
        <v>5597628</v>
      </c>
      <c r="O18" s="106">
        <f>'P一般'!O18+'B一般'!O18</f>
        <v>2960264</v>
      </c>
      <c r="P18" s="107">
        <f>'P一般'!P18+'B一般'!P18</f>
        <v>10138506</v>
      </c>
      <c r="Q18" s="108">
        <f>SUM(K18:P18)</f>
        <v>37861197</v>
      </c>
      <c r="R18" s="109">
        <f>J18+Q18</f>
        <v>59047597</v>
      </c>
      <c r="S18" s="45"/>
    </row>
    <row r="19" spans="1:19" s="46" customFormat="1" ht="13.5" customHeight="1" thickBot="1">
      <c r="A19" s="144"/>
      <c r="B19" s="20" t="s">
        <v>30</v>
      </c>
      <c r="C19" s="55" t="s">
        <v>6</v>
      </c>
      <c r="D19" s="65">
        <f aca="true" t="shared" si="4" ref="D19:R19">IF(D17=0,"",(D18/D17)*1000)</f>
        <v>32831.09689499142</v>
      </c>
      <c r="E19" s="56">
        <f t="shared" si="4"/>
        <v>36325.64037219594</v>
      </c>
      <c r="F19" s="56">
        <f t="shared" si="4"/>
        <v>38660.272373946296</v>
      </c>
      <c r="G19" s="56">
        <f t="shared" si="4"/>
        <v>38505.767628181704</v>
      </c>
      <c r="H19" s="56">
        <f t="shared" si="4"/>
        <v>39412.80777189873</v>
      </c>
      <c r="I19" s="57">
        <f t="shared" si="4"/>
        <v>42919.23189266096</v>
      </c>
      <c r="J19" s="58">
        <f t="shared" si="4"/>
        <v>38483.01391908657</v>
      </c>
      <c r="K19" s="57">
        <f t="shared" si="4"/>
        <v>46361.53647215757</v>
      </c>
      <c r="L19" s="56">
        <f t="shared" si="4"/>
        <v>48622.42159389139</v>
      </c>
      <c r="M19" s="56">
        <f t="shared" si="4"/>
        <v>48967.365288828514</v>
      </c>
      <c r="N19" s="56">
        <f t="shared" si="4"/>
        <v>46258.33002776676</v>
      </c>
      <c r="O19" s="56">
        <f t="shared" si="4"/>
        <v>42003.859469890456</v>
      </c>
      <c r="P19" s="57">
        <f t="shared" si="4"/>
        <v>42679.1018387553</v>
      </c>
      <c r="Q19" s="58">
        <f t="shared" si="4"/>
        <v>45863.95214600411</v>
      </c>
      <c r="R19" s="59">
        <f t="shared" si="4"/>
        <v>42910.93855601177</v>
      </c>
      <c r="S19" s="45"/>
    </row>
    <row r="20" spans="1:19" s="46" customFormat="1" ht="13.5" customHeight="1">
      <c r="A20" s="151" t="s">
        <v>41</v>
      </c>
      <c r="B20" s="47" t="s">
        <v>26</v>
      </c>
      <c r="C20" s="48" t="s">
        <v>4</v>
      </c>
      <c r="D20" s="105">
        <f>'P一般'!D20+'B一般'!D20</f>
        <v>166982</v>
      </c>
      <c r="E20" s="106">
        <f>'P一般'!E20+'B一般'!E20</f>
        <v>185065</v>
      </c>
      <c r="F20" s="106">
        <f>'P一般'!F20+'B一般'!F20</f>
        <v>245122</v>
      </c>
      <c r="G20" s="106">
        <f>'P一般'!G20+'B一般'!G20</f>
        <v>179245</v>
      </c>
      <c r="H20" s="106">
        <f>'P一般'!H20+'B一般'!H20</f>
        <v>278682</v>
      </c>
      <c r="I20" s="107">
        <f>'P一般'!I20+'B一般'!I20</f>
        <v>264114</v>
      </c>
      <c r="J20" s="108">
        <f>SUM(D20:I20)</f>
        <v>1319210</v>
      </c>
      <c r="K20" s="107">
        <f>'P一般'!K20+'B一般'!K20</f>
        <v>111147</v>
      </c>
      <c r="L20" s="106">
        <f>'P一般'!L20+'B一般'!L20</f>
        <v>287946</v>
      </c>
      <c r="M20" s="106">
        <f>'P一般'!M20+'B一般'!M20</f>
        <v>323672</v>
      </c>
      <c r="N20" s="106">
        <f>'P一般'!N20+'B一般'!N20</f>
        <v>151801</v>
      </c>
      <c r="O20" s="106">
        <f>'P一般'!O20+'B一般'!O20</f>
        <v>262065</v>
      </c>
      <c r="P20" s="107">
        <f>'P一般'!P20+'B一般'!P20</f>
        <v>270974</v>
      </c>
      <c r="Q20" s="108">
        <f>SUM(K20:P20)</f>
        <v>1407605</v>
      </c>
      <c r="R20" s="109">
        <f>J20+Q20</f>
        <v>2726815</v>
      </c>
      <c r="S20" s="45"/>
    </row>
    <row r="21" spans="1:19" s="46" customFormat="1" ht="13.5" customHeight="1">
      <c r="A21" s="152"/>
      <c r="B21" s="47" t="s">
        <v>28</v>
      </c>
      <c r="C21" s="48" t="s">
        <v>5</v>
      </c>
      <c r="D21" s="105">
        <f>'P一般'!D21+'B一般'!D21</f>
        <v>5105923</v>
      </c>
      <c r="E21" s="106">
        <f>'P一般'!E21+'B一般'!E21</f>
        <v>6720188</v>
      </c>
      <c r="F21" s="106">
        <f>'P一般'!F21+'B一般'!F21</f>
        <v>9888456</v>
      </c>
      <c r="G21" s="133">
        <f>'P一般'!G21+'B一般'!G21</f>
        <v>7009149</v>
      </c>
      <c r="H21" s="106">
        <f>'P一般'!H21+'B一般'!H21</f>
        <v>11102597</v>
      </c>
      <c r="I21" s="107">
        <f>'P一般'!I21+'B一般'!I21</f>
        <v>11459913</v>
      </c>
      <c r="J21" s="131">
        <f>SUM(D21:I21)</f>
        <v>51286226</v>
      </c>
      <c r="K21" s="107">
        <f>'P一般'!K21+'B一般'!K21</f>
        <v>5089707</v>
      </c>
      <c r="L21" s="106">
        <f>'P一般'!L21+'B一般'!L21</f>
        <v>14208676</v>
      </c>
      <c r="M21" s="106">
        <f>'P一般'!M21+'B一般'!M21</f>
        <v>16183200</v>
      </c>
      <c r="N21" s="106">
        <f>'P一般'!N21+'B一般'!N21</f>
        <v>7039407</v>
      </c>
      <c r="O21" s="106">
        <f>'P一般'!O21+'B一般'!O21</f>
        <v>10952990</v>
      </c>
      <c r="P21" s="107">
        <f>'P一般'!P21+'B一般'!P21</f>
        <v>10870450</v>
      </c>
      <c r="Q21" s="108">
        <f>SUM(K21:P21)</f>
        <v>64344430</v>
      </c>
      <c r="R21" s="134">
        <f>J21+Q21</f>
        <v>115630656</v>
      </c>
      <c r="S21" s="45"/>
    </row>
    <row r="22" spans="1:19" s="46" customFormat="1" ht="13.5" customHeight="1" thickBot="1">
      <c r="A22" s="153"/>
      <c r="B22" s="20" t="s">
        <v>30</v>
      </c>
      <c r="C22" s="55" t="s">
        <v>6</v>
      </c>
      <c r="D22" s="65">
        <f aca="true" t="shared" si="5" ref="D22:R22">IF(D20=0,"",(D21/D20)*1000)</f>
        <v>30577.68501994227</v>
      </c>
      <c r="E22" s="56">
        <f t="shared" si="5"/>
        <v>36312.58206576068</v>
      </c>
      <c r="F22" s="56">
        <f t="shared" si="5"/>
        <v>40340.95674806831</v>
      </c>
      <c r="G22" s="130">
        <f t="shared" si="5"/>
        <v>39103.735111160706</v>
      </c>
      <c r="H22" s="56">
        <f t="shared" si="5"/>
        <v>39839.66312858384</v>
      </c>
      <c r="I22" s="57">
        <f t="shared" si="5"/>
        <v>43390.024762034576</v>
      </c>
      <c r="J22" s="132">
        <f t="shared" si="5"/>
        <v>38876.46849250688</v>
      </c>
      <c r="K22" s="57">
        <f t="shared" si="5"/>
        <v>45792.57199924425</v>
      </c>
      <c r="L22" s="56">
        <f t="shared" si="5"/>
        <v>49344.93273044252</v>
      </c>
      <c r="M22" s="56">
        <f t="shared" si="5"/>
        <v>49998.764181022765</v>
      </c>
      <c r="N22" s="56">
        <f t="shared" si="5"/>
        <v>46372.599653493715</v>
      </c>
      <c r="O22" s="56">
        <f t="shared" si="5"/>
        <v>41794.93637074772</v>
      </c>
      <c r="P22" s="57">
        <f t="shared" si="5"/>
        <v>40116.210411330976</v>
      </c>
      <c r="Q22" s="58">
        <f t="shared" si="5"/>
        <v>45711.993066236624</v>
      </c>
      <c r="R22" s="135">
        <f t="shared" si="5"/>
        <v>42405.02417655763</v>
      </c>
      <c r="S22" s="45"/>
    </row>
    <row r="23" spans="1:19" s="46" customFormat="1" ht="13.5" customHeight="1">
      <c r="A23" s="142" t="s">
        <v>42</v>
      </c>
      <c r="B23" s="47" t="s">
        <v>26</v>
      </c>
      <c r="C23" s="48" t="s">
        <v>4</v>
      </c>
      <c r="D23" s="105">
        <f>'P一般'!D23+'B一般'!D23</f>
        <v>95067</v>
      </c>
      <c r="E23" s="106">
        <f>'P一般'!E23+'B一般'!E23</f>
        <v>64400</v>
      </c>
      <c r="F23" s="106">
        <f>'P一般'!F23+'B一般'!F23</f>
        <v>76577</v>
      </c>
      <c r="G23" s="106">
        <f>'P一般'!G23+'B一般'!G23</f>
        <v>129133</v>
      </c>
      <c r="H23" s="106">
        <f>'P一般'!H23+'B一般'!H23</f>
        <v>65166</v>
      </c>
      <c r="I23" s="107">
        <f>'P一般'!I23+'B一般'!I23</f>
        <v>67234</v>
      </c>
      <c r="J23" s="108">
        <f>SUM(D23:I23)</f>
        <v>497577</v>
      </c>
      <c r="K23" s="107">
        <f>'P一般'!K23+'B一般'!K23</f>
        <v>70505</v>
      </c>
      <c r="L23" s="106">
        <f>'P一般'!L23+'B一般'!L23</f>
        <v>85458</v>
      </c>
      <c r="M23" s="106">
        <f>'P一般'!M23+'B一般'!M23</f>
        <v>123185</v>
      </c>
      <c r="N23" s="106">
        <f>'P一般'!N23+'B一般'!N23</f>
        <v>58127</v>
      </c>
      <c r="O23" s="106">
        <f>'P一般'!O23+'B一般'!O23</f>
        <v>87388</v>
      </c>
      <c r="P23" s="107">
        <f>'P一般'!P23+'B一般'!P23</f>
        <v>110261</v>
      </c>
      <c r="Q23" s="108">
        <f>SUM(K23:P23)</f>
        <v>534924</v>
      </c>
      <c r="R23" s="109">
        <f>J23+Q23</f>
        <v>1032501</v>
      </c>
      <c r="S23" s="45"/>
    </row>
    <row r="24" spans="1:19" s="46" customFormat="1" ht="13.5" customHeight="1">
      <c r="A24" s="143"/>
      <c r="B24" s="47" t="s">
        <v>28</v>
      </c>
      <c r="C24" s="48" t="s">
        <v>5</v>
      </c>
      <c r="D24" s="105">
        <f>'P一般'!D24+'B一般'!D24</f>
        <v>3074569</v>
      </c>
      <c r="E24" s="106">
        <f>'P一般'!E24+'B一般'!E24</f>
        <v>2361836</v>
      </c>
      <c r="F24" s="106">
        <f>'P一般'!F24+'B一般'!F24</f>
        <v>2969052</v>
      </c>
      <c r="G24" s="106">
        <f>'P一般'!G24+'B一般'!G24</f>
        <v>5131951</v>
      </c>
      <c r="H24" s="106">
        <f>'P一般'!H24+'B一般'!H24</f>
        <v>2637422</v>
      </c>
      <c r="I24" s="107">
        <f>'P一般'!I24+'B一般'!I24</f>
        <v>2860929</v>
      </c>
      <c r="J24" s="108">
        <f>SUM(D24:I24)</f>
        <v>19035759</v>
      </c>
      <c r="K24" s="107">
        <f>'P一般'!K24+'B一般'!K24</f>
        <v>3256481</v>
      </c>
      <c r="L24" s="106">
        <f>'P一般'!L24+'B一般'!L24</f>
        <v>4117627</v>
      </c>
      <c r="M24" s="106">
        <f>'P一般'!M24+'B一般'!M24</f>
        <v>6265939</v>
      </c>
      <c r="N24" s="106">
        <f>'P一般'!N24+'B一般'!N24</f>
        <v>2379818</v>
      </c>
      <c r="O24" s="106">
        <f>'P一般'!O24+'B一般'!O24</f>
        <v>3661361</v>
      </c>
      <c r="P24" s="107">
        <f>'P一般'!P24+'B一般'!P24</f>
        <v>4705845</v>
      </c>
      <c r="Q24" s="108">
        <f>SUM(K24:P24)</f>
        <v>24387071</v>
      </c>
      <c r="R24" s="109">
        <f>J24+Q24</f>
        <v>43422830</v>
      </c>
      <c r="S24" s="45"/>
    </row>
    <row r="25" spans="1:19" s="46" customFormat="1" ht="13.5" customHeight="1" thickBot="1">
      <c r="A25" s="144"/>
      <c r="B25" s="20" t="s">
        <v>30</v>
      </c>
      <c r="C25" s="55" t="s">
        <v>6</v>
      </c>
      <c r="D25" s="65">
        <f aca="true" t="shared" si="6" ref="D25:R25">IF(D23=0,"",(D24/D23)*1000)</f>
        <v>32341.07524167166</v>
      </c>
      <c r="E25" s="56">
        <f t="shared" si="6"/>
        <v>36674.472049689444</v>
      </c>
      <c r="F25" s="56">
        <f t="shared" si="6"/>
        <v>38772.11173067631</v>
      </c>
      <c r="G25" s="56">
        <f t="shared" si="6"/>
        <v>39741.5920020444</v>
      </c>
      <c r="H25" s="56">
        <f t="shared" si="6"/>
        <v>40472.362888622905</v>
      </c>
      <c r="I25" s="57">
        <f t="shared" si="6"/>
        <v>42551.819020138624</v>
      </c>
      <c r="J25" s="58">
        <f t="shared" si="6"/>
        <v>38256.91099066074</v>
      </c>
      <c r="K25" s="57">
        <f t="shared" si="6"/>
        <v>46187.94411743848</v>
      </c>
      <c r="L25" s="56">
        <f t="shared" si="6"/>
        <v>48183.04898312621</v>
      </c>
      <c r="M25" s="56">
        <f t="shared" si="6"/>
        <v>50866.08759183342</v>
      </c>
      <c r="N25" s="56">
        <f t="shared" si="6"/>
        <v>40941.69662979338</v>
      </c>
      <c r="O25" s="56">
        <f t="shared" si="6"/>
        <v>41897.75484048153</v>
      </c>
      <c r="P25" s="57">
        <f t="shared" si="6"/>
        <v>42679.14312404204</v>
      </c>
      <c r="Q25" s="58">
        <f t="shared" si="6"/>
        <v>45589.78658650575</v>
      </c>
      <c r="R25" s="59">
        <f t="shared" si="6"/>
        <v>42055.968953056705</v>
      </c>
      <c r="S25" s="45"/>
    </row>
    <row r="26" spans="1:19" s="46" customFormat="1" ht="13.5" customHeight="1">
      <c r="A26" s="142" t="s">
        <v>44</v>
      </c>
      <c r="B26" s="47" t="s">
        <v>26</v>
      </c>
      <c r="C26" s="48" t="s">
        <v>4</v>
      </c>
      <c r="D26" s="105">
        <f>'P一般'!D26+'B一般'!D26</f>
        <v>89036</v>
      </c>
      <c r="E26" s="106">
        <f>'P一般'!E26+'B一般'!E26</f>
        <v>29889</v>
      </c>
      <c r="F26" s="106">
        <f>'P一般'!F26+'B一般'!F26</f>
        <v>22994</v>
      </c>
      <c r="G26" s="106">
        <f>'P一般'!G26+'B一般'!G26</f>
        <v>25229</v>
      </c>
      <c r="H26" s="106">
        <f>'P一般'!H26+'B一般'!H26</f>
        <v>43301</v>
      </c>
      <c r="I26" s="107">
        <f>'P一般'!I26+'B一般'!I26</f>
        <v>45092</v>
      </c>
      <c r="J26" s="108">
        <f>SUM(D26:I26)</f>
        <v>255541</v>
      </c>
      <c r="K26" s="107">
        <f>'P一般'!K26+'B一般'!K26</f>
        <v>43710</v>
      </c>
      <c r="L26" s="106">
        <f>'P一般'!L26+'B一般'!L26</f>
        <v>66795</v>
      </c>
      <c r="M26" s="106">
        <f>'P一般'!M26+'B一般'!M26</f>
        <v>50258</v>
      </c>
      <c r="N26" s="106">
        <f>'P一般'!N26+'B一般'!N26</f>
        <v>51345</v>
      </c>
      <c r="O26" s="106">
        <f>'P一般'!O26+'B一般'!O26</f>
        <v>108666</v>
      </c>
      <c r="P26" s="107">
        <f>'P一般'!P26+'B一般'!P26</f>
        <v>57722</v>
      </c>
      <c r="Q26" s="108">
        <f>SUM(K26:P26)</f>
        <v>378496</v>
      </c>
      <c r="R26" s="109">
        <f>J26+Q26</f>
        <v>634037</v>
      </c>
      <c r="S26" s="45"/>
    </row>
    <row r="27" spans="1:19" s="46" customFormat="1" ht="13.5" customHeight="1">
      <c r="A27" s="143"/>
      <c r="B27" s="47" t="s">
        <v>28</v>
      </c>
      <c r="C27" s="48" t="s">
        <v>5</v>
      </c>
      <c r="D27" s="105">
        <f>'P一般'!D27+'B一般'!D27</f>
        <v>2951473</v>
      </c>
      <c r="E27" s="106">
        <f>'P一般'!E27+'B一般'!E27</f>
        <v>1125973</v>
      </c>
      <c r="F27" s="106">
        <f>'P一般'!F27+'B一般'!F27</f>
        <v>869457</v>
      </c>
      <c r="G27" s="106">
        <f>'P一般'!G27+'B一般'!G27</f>
        <v>1056739</v>
      </c>
      <c r="H27" s="106">
        <f>'P一般'!H27+'B一般'!H27</f>
        <v>1747826</v>
      </c>
      <c r="I27" s="107">
        <f>'P一般'!I27+'B一般'!I27</f>
        <v>1900986</v>
      </c>
      <c r="J27" s="108">
        <f>SUM(D27:I27)</f>
        <v>9652454</v>
      </c>
      <c r="K27" s="107">
        <f>'P一般'!K27+'B一般'!K27</f>
        <v>1981191</v>
      </c>
      <c r="L27" s="106">
        <f>'P一般'!L27+'B一般'!L27</f>
        <v>3396842</v>
      </c>
      <c r="M27" s="106">
        <f>'P一般'!M27+'B一般'!M27</f>
        <v>2474993</v>
      </c>
      <c r="N27" s="106">
        <f>'P一般'!N27+'B一般'!N27</f>
        <v>2399017</v>
      </c>
      <c r="O27" s="106">
        <f>'P一般'!O27+'B一般'!O27</f>
        <v>4504156</v>
      </c>
      <c r="P27" s="107">
        <f>'P一般'!P27+'B一般'!P27</f>
        <v>2489577</v>
      </c>
      <c r="Q27" s="108">
        <f>SUM(K27:P27)</f>
        <v>17245776</v>
      </c>
      <c r="R27" s="109">
        <f>J27+Q27</f>
        <v>26898230</v>
      </c>
      <c r="S27" s="45"/>
    </row>
    <row r="28" spans="1:19" s="46" customFormat="1" ht="13.5" customHeight="1" thickBot="1">
      <c r="A28" s="144"/>
      <c r="B28" s="20" t="s">
        <v>30</v>
      </c>
      <c r="C28" s="55" t="s">
        <v>6</v>
      </c>
      <c r="D28" s="65">
        <f aca="true" t="shared" si="7" ref="D28:R28">IF(D26=0,"",(D27/D26)*1000)</f>
        <v>33149.20930859428</v>
      </c>
      <c r="E28" s="56">
        <f t="shared" si="7"/>
        <v>37671.81906386965</v>
      </c>
      <c r="F28" s="56">
        <f t="shared" si="7"/>
        <v>37812.3423501783</v>
      </c>
      <c r="G28" s="56">
        <f t="shared" si="7"/>
        <v>41885.88529073685</v>
      </c>
      <c r="H28" s="56">
        <f t="shared" si="7"/>
        <v>40364.564328768385</v>
      </c>
      <c r="I28" s="57">
        <f t="shared" si="7"/>
        <v>42157.94375942517</v>
      </c>
      <c r="J28" s="58">
        <f t="shared" si="7"/>
        <v>37772.62357116862</v>
      </c>
      <c r="K28" s="57">
        <f t="shared" si="7"/>
        <v>45325.80645161291</v>
      </c>
      <c r="L28" s="56">
        <f t="shared" si="7"/>
        <v>50854.73463582603</v>
      </c>
      <c r="M28" s="56">
        <f t="shared" si="7"/>
        <v>49245.75192009233</v>
      </c>
      <c r="N28" s="56">
        <f t="shared" si="7"/>
        <v>46723.478430226896</v>
      </c>
      <c r="O28" s="56">
        <f t="shared" si="7"/>
        <v>41449.54263523089</v>
      </c>
      <c r="P28" s="57">
        <f t="shared" si="7"/>
        <v>43130.470184678285</v>
      </c>
      <c r="Q28" s="58">
        <f t="shared" si="7"/>
        <v>45563.95840378763</v>
      </c>
      <c r="R28" s="59">
        <f t="shared" si="7"/>
        <v>42423.75444966145</v>
      </c>
      <c r="S28" s="45"/>
    </row>
    <row r="29" spans="1:19" s="46" customFormat="1" ht="13.5" customHeight="1">
      <c r="A29" s="142" t="s">
        <v>46</v>
      </c>
      <c r="B29" s="47" t="s">
        <v>26</v>
      </c>
      <c r="C29" s="48" t="s">
        <v>4</v>
      </c>
      <c r="D29" s="105">
        <f>'P一般'!D29+'B一般'!D29</f>
        <v>1276</v>
      </c>
      <c r="E29" s="106">
        <f>'P一般'!E29+'B一般'!E29</f>
        <v>3532</v>
      </c>
      <c r="F29" s="106">
        <f>'P一般'!F29+'B一般'!F29</f>
        <v>836</v>
      </c>
      <c r="G29" s="106">
        <f>'P一般'!G29+'B一般'!G29</f>
        <v>2942</v>
      </c>
      <c r="H29" s="106">
        <f>'P一般'!H29+'B一般'!H29</f>
        <v>5541</v>
      </c>
      <c r="I29" s="107">
        <f>'P一般'!I29+'B一般'!I29</f>
        <v>3403</v>
      </c>
      <c r="J29" s="108">
        <f>SUM(D29:I29)</f>
        <v>17530</v>
      </c>
      <c r="K29" s="107">
        <f>'P一般'!K29+'B一般'!K29</f>
        <v>3213</v>
      </c>
      <c r="L29" s="106">
        <f>'P一般'!L29+'B一般'!L29</f>
        <v>3984</v>
      </c>
      <c r="M29" s="106">
        <f>'P一般'!M29+'B一般'!M29</f>
        <v>1987</v>
      </c>
      <c r="N29" s="106">
        <f>'P一般'!N29+'B一般'!N29</f>
        <v>1422</v>
      </c>
      <c r="O29" s="106">
        <f>'P一般'!O29+'B一般'!O29</f>
        <v>1118</v>
      </c>
      <c r="P29" s="107">
        <f>'P一般'!P29+'B一般'!P29</f>
        <v>611</v>
      </c>
      <c r="Q29" s="108">
        <f>SUM(K29:P29)</f>
        <v>12335</v>
      </c>
      <c r="R29" s="109">
        <f>J29+Q29</f>
        <v>29865</v>
      </c>
      <c r="S29" s="45"/>
    </row>
    <row r="30" spans="1:19" s="46" customFormat="1" ht="13.5" customHeight="1">
      <c r="A30" s="143"/>
      <c r="B30" s="47" t="s">
        <v>28</v>
      </c>
      <c r="C30" s="48" t="s">
        <v>5</v>
      </c>
      <c r="D30" s="105">
        <f>'P一般'!D30+'B一般'!D30</f>
        <v>123054</v>
      </c>
      <c r="E30" s="106">
        <f>'P一般'!E30+'B一般'!E30</f>
        <v>217312</v>
      </c>
      <c r="F30" s="106">
        <f>'P一般'!F30+'B一般'!F30</f>
        <v>100875</v>
      </c>
      <c r="G30" s="106">
        <f>'P一般'!G30+'B一般'!G30</f>
        <v>281200</v>
      </c>
      <c r="H30" s="106">
        <f>'P一般'!H30+'B一般'!H30</f>
        <v>408416</v>
      </c>
      <c r="I30" s="107">
        <f>'P一般'!I30+'B一般'!I30</f>
        <v>336898</v>
      </c>
      <c r="J30" s="108">
        <f>SUM(D30:I30)</f>
        <v>1467755</v>
      </c>
      <c r="K30" s="107">
        <f>'P一般'!K30+'B一般'!K30</f>
        <v>341309</v>
      </c>
      <c r="L30" s="106">
        <f>'P一般'!L30+'B一般'!L30</f>
        <v>469441</v>
      </c>
      <c r="M30" s="106">
        <f>'P一般'!M30+'B一般'!M30</f>
        <v>304337</v>
      </c>
      <c r="N30" s="106">
        <f>'P一般'!N30+'B一般'!N30</f>
        <v>177363</v>
      </c>
      <c r="O30" s="106">
        <f>'P一般'!O30+'B一般'!O30</f>
        <v>108100</v>
      </c>
      <c r="P30" s="107">
        <f>'P一般'!P30+'B一般'!P30</f>
        <v>125458</v>
      </c>
      <c r="Q30" s="108">
        <f>SUM(K30:P30)</f>
        <v>1526008</v>
      </c>
      <c r="R30" s="109">
        <f>J30+Q30</f>
        <v>2993763</v>
      </c>
      <c r="S30" s="45"/>
    </row>
    <row r="31" spans="1:19" s="46" customFormat="1" ht="13.5" customHeight="1" thickBot="1">
      <c r="A31" s="144"/>
      <c r="B31" s="20" t="s">
        <v>30</v>
      </c>
      <c r="C31" s="55" t="s">
        <v>6</v>
      </c>
      <c r="D31" s="65">
        <f aca="true" t="shared" si="8" ref="D31:R31">IF(D29=0,"",(D30/D29)*1000)</f>
        <v>96437.30407523511</v>
      </c>
      <c r="E31" s="56">
        <f t="shared" si="8"/>
        <v>61526.61381653454</v>
      </c>
      <c r="F31" s="56">
        <f t="shared" si="8"/>
        <v>120663.87559808612</v>
      </c>
      <c r="G31" s="56">
        <f t="shared" si="8"/>
        <v>95581.237253569</v>
      </c>
      <c r="H31" s="56">
        <f t="shared" si="8"/>
        <v>73707.9949467605</v>
      </c>
      <c r="I31" s="57">
        <f t="shared" si="8"/>
        <v>99000.29385836027</v>
      </c>
      <c r="J31" s="58">
        <f t="shared" si="8"/>
        <v>83728.1802624073</v>
      </c>
      <c r="K31" s="57">
        <f t="shared" si="8"/>
        <v>106227.51322751323</v>
      </c>
      <c r="L31" s="56">
        <f t="shared" si="8"/>
        <v>117831.57630522088</v>
      </c>
      <c r="M31" s="56">
        <f t="shared" si="8"/>
        <v>153164.06643180674</v>
      </c>
      <c r="N31" s="56">
        <f t="shared" si="8"/>
        <v>124727.84810126582</v>
      </c>
      <c r="O31" s="56">
        <f t="shared" si="8"/>
        <v>96690.51878354205</v>
      </c>
      <c r="P31" s="57">
        <f t="shared" si="8"/>
        <v>205332.24222585926</v>
      </c>
      <c r="Q31" s="58">
        <f t="shared" si="8"/>
        <v>123713.66031617348</v>
      </c>
      <c r="R31" s="59">
        <f t="shared" si="8"/>
        <v>100243.19437468608</v>
      </c>
      <c r="S31" s="45"/>
    </row>
    <row r="32" spans="1:19" s="46" customFormat="1" ht="13.5" customHeight="1">
      <c r="A32" s="142" t="s">
        <v>48</v>
      </c>
      <c r="B32" s="47" t="s">
        <v>26</v>
      </c>
      <c r="C32" s="48" t="s">
        <v>4</v>
      </c>
      <c r="D32" s="49">
        <f>'P一般'!D32+'B一般'!D32</f>
        <v>0</v>
      </c>
      <c r="E32" s="106">
        <f>'P一般'!E32+'B一般'!E32</f>
        <v>19805</v>
      </c>
      <c r="F32" s="106">
        <f>'P一般'!F32+'B一般'!F32</f>
        <v>0</v>
      </c>
      <c r="G32" s="106">
        <f>'P一般'!G32+'B一般'!G32</f>
        <v>0</v>
      </c>
      <c r="H32" s="106">
        <f>'P一般'!H32+'B一般'!H32</f>
        <v>0</v>
      </c>
      <c r="I32" s="107">
        <f>'P一般'!I32+'B一般'!I32</f>
        <v>0</v>
      </c>
      <c r="J32" s="108">
        <f>SUM(D32:I32)</f>
        <v>19805</v>
      </c>
      <c r="K32" s="51">
        <f>'P一般'!K32+'B一般'!K32</f>
        <v>0</v>
      </c>
      <c r="L32" s="50">
        <f>'P一般'!L32+'B一般'!L32</f>
        <v>0</v>
      </c>
      <c r="M32" s="50">
        <f>'P一般'!M32+'B一般'!M32</f>
        <v>21174</v>
      </c>
      <c r="N32" s="50">
        <f>'P一般'!N32+'B一般'!N32</f>
        <v>0</v>
      </c>
      <c r="O32" s="50">
        <f>'P一般'!O32+'B一般'!O32</f>
        <v>0</v>
      </c>
      <c r="P32" s="51">
        <f>'P一般'!P32+'B一般'!P32</f>
        <v>0</v>
      </c>
      <c r="Q32" s="52">
        <f>SUM(K32:P32)</f>
        <v>21174</v>
      </c>
      <c r="R32" s="53">
        <f>J32+Q32</f>
        <v>40979</v>
      </c>
      <c r="S32" s="45"/>
    </row>
    <row r="33" spans="1:19" s="46" customFormat="1" ht="13.5" customHeight="1">
      <c r="A33" s="143"/>
      <c r="B33" s="47" t="s">
        <v>28</v>
      </c>
      <c r="C33" s="48" t="s">
        <v>5</v>
      </c>
      <c r="D33" s="49">
        <f>'P一般'!D33+'B一般'!D33</f>
        <v>0</v>
      </c>
      <c r="E33" s="106">
        <f>'P一般'!E33+'B一般'!E33</f>
        <v>679511</v>
      </c>
      <c r="F33" s="106">
        <f>'P一般'!F33+'B一般'!F33</f>
        <v>0</v>
      </c>
      <c r="G33" s="106">
        <f>'P一般'!G33+'B一般'!G33</f>
        <v>0</v>
      </c>
      <c r="H33" s="106">
        <f>'P一般'!H33+'B一般'!H33</f>
        <v>0</v>
      </c>
      <c r="I33" s="107">
        <f>'P一般'!I33+'B一般'!I33</f>
        <v>0</v>
      </c>
      <c r="J33" s="108">
        <f>SUM(D33:I33)</f>
        <v>679511</v>
      </c>
      <c r="K33" s="51">
        <f>'P一般'!K33+'B一般'!K33</f>
        <v>0</v>
      </c>
      <c r="L33" s="50">
        <f>'P一般'!L33+'B一般'!L33</f>
        <v>0</v>
      </c>
      <c r="M33" s="50">
        <f>'P一般'!M33+'B一般'!M33</f>
        <v>1035559</v>
      </c>
      <c r="N33" s="50">
        <f>'P一般'!N33+'B一般'!N33</f>
        <v>0</v>
      </c>
      <c r="O33" s="50">
        <f>'P一般'!O33+'B一般'!O33</f>
        <v>0</v>
      </c>
      <c r="P33" s="51">
        <f>'P一般'!P33+'B一般'!P33</f>
        <v>0</v>
      </c>
      <c r="Q33" s="52">
        <f>SUM(K33:P33)</f>
        <v>1035559</v>
      </c>
      <c r="R33" s="53">
        <f>J33+Q33</f>
        <v>1715070</v>
      </c>
      <c r="S33" s="45"/>
    </row>
    <row r="34" spans="1:19" s="46" customFormat="1" ht="13.5" customHeight="1" thickBot="1">
      <c r="A34" s="144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  <v>34310.07321383489</v>
      </c>
      <c r="F34" s="56">
        <f t="shared" si="9"/>
      </c>
      <c r="G34" s="56">
        <f t="shared" si="9"/>
      </c>
      <c r="H34" s="56">
        <f t="shared" si="9"/>
      </c>
      <c r="I34" s="57">
        <f t="shared" si="9"/>
      </c>
      <c r="J34" s="58">
        <f t="shared" si="9"/>
        <v>34310.07321383489</v>
      </c>
      <c r="K34" s="57">
        <f t="shared" si="9"/>
      </c>
      <c r="L34" s="56">
        <f t="shared" si="9"/>
      </c>
      <c r="M34" s="56">
        <f t="shared" si="9"/>
        <v>48907.10305091149</v>
      </c>
      <c r="N34" s="56">
        <f t="shared" si="9"/>
      </c>
      <c r="O34" s="56">
        <f t="shared" si="9"/>
      </c>
      <c r="P34" s="57">
        <f t="shared" si="9"/>
      </c>
      <c r="Q34" s="58">
        <f t="shared" si="9"/>
        <v>48907.10305091149</v>
      </c>
      <c r="R34" s="59">
        <f t="shared" si="9"/>
        <v>41852.412211132534</v>
      </c>
      <c r="S34" s="45"/>
    </row>
    <row r="35" spans="1:19" s="46" customFormat="1" ht="13.5" customHeight="1">
      <c r="A35" s="142" t="s">
        <v>50</v>
      </c>
      <c r="B35" s="47" t="s">
        <v>26</v>
      </c>
      <c r="C35" s="48" t="s">
        <v>4</v>
      </c>
      <c r="D35" s="105">
        <f>'P一般'!D35+'B一般'!D35</f>
        <v>0</v>
      </c>
      <c r="E35" s="106">
        <f>'P一般'!E35+'B一般'!E35</f>
        <v>15879</v>
      </c>
      <c r="F35" s="106">
        <f>'P一般'!F35+'B一般'!F35</f>
        <v>32675</v>
      </c>
      <c r="G35" s="106">
        <f>'P一般'!G35+'B一般'!G35</f>
        <v>0</v>
      </c>
      <c r="H35" s="106">
        <f>'P一般'!H35+'B一般'!H35</f>
        <v>0</v>
      </c>
      <c r="I35" s="107">
        <f>'P一般'!I35+'B一般'!I35</f>
        <v>0</v>
      </c>
      <c r="J35" s="108">
        <f>SUM(D35:I35)</f>
        <v>48554</v>
      </c>
      <c r="K35" s="107">
        <f>'P一般'!K35+'B一般'!K35</f>
        <v>0</v>
      </c>
      <c r="L35" s="106">
        <f>'P一般'!L35+'B一般'!L35</f>
        <v>39270</v>
      </c>
      <c r="M35" s="106">
        <f>'P一般'!M35+'B一般'!M35</f>
        <v>0</v>
      </c>
      <c r="N35" s="106">
        <f>'P一般'!N35+'B一般'!N35</f>
        <v>0</v>
      </c>
      <c r="O35" s="106">
        <f>'P一般'!O35+'B一般'!O35</f>
        <v>44285</v>
      </c>
      <c r="P35" s="107">
        <f>'P一般'!P35+'B一般'!P35</f>
        <v>20013</v>
      </c>
      <c r="Q35" s="108">
        <f>SUM(K35:P35)</f>
        <v>103568</v>
      </c>
      <c r="R35" s="109">
        <f>J35+Q35</f>
        <v>152122</v>
      </c>
      <c r="S35" s="45"/>
    </row>
    <row r="36" spans="1:19" s="46" customFormat="1" ht="13.5" customHeight="1">
      <c r="A36" s="143"/>
      <c r="B36" s="47" t="s">
        <v>28</v>
      </c>
      <c r="C36" s="48" t="s">
        <v>5</v>
      </c>
      <c r="D36" s="105">
        <f>'P一般'!D36+'B一般'!D36</f>
        <v>0</v>
      </c>
      <c r="E36" s="106">
        <f>'P一般'!E36+'B一般'!E36</f>
        <v>636359</v>
      </c>
      <c r="F36" s="106">
        <f>'P一般'!F36+'B一般'!F36</f>
        <v>1347845</v>
      </c>
      <c r="G36" s="106">
        <f>'P一般'!G36+'B一般'!G36</f>
        <v>0</v>
      </c>
      <c r="H36" s="106">
        <f>'P一般'!H36+'B一般'!H36</f>
        <v>0</v>
      </c>
      <c r="I36" s="107">
        <f>'P一般'!I36+'B一般'!I36</f>
        <v>0</v>
      </c>
      <c r="J36" s="108">
        <f>SUM(D36:I36)</f>
        <v>1984204</v>
      </c>
      <c r="K36" s="107">
        <f>'P一般'!K36+'B一般'!K36</f>
        <v>0</v>
      </c>
      <c r="L36" s="106">
        <f>'P一般'!L36+'B一般'!L36</f>
        <v>1835777</v>
      </c>
      <c r="M36" s="106">
        <f>'P一般'!M36+'B一般'!M36</f>
        <v>0</v>
      </c>
      <c r="N36" s="106">
        <f>'P一般'!N36+'B一般'!N36</f>
        <v>0</v>
      </c>
      <c r="O36" s="106">
        <f>'P一般'!O36+'B一般'!O36</f>
        <v>1852398</v>
      </c>
      <c r="P36" s="107">
        <f>'P一般'!P36+'B一般'!P36</f>
        <v>861967</v>
      </c>
      <c r="Q36" s="108">
        <f>SUM(K36:P36)</f>
        <v>4550142</v>
      </c>
      <c r="R36" s="109">
        <f>J36+Q36</f>
        <v>6534346</v>
      </c>
      <c r="S36" s="45"/>
    </row>
    <row r="37" spans="1:19" s="46" customFormat="1" ht="13.5" customHeight="1" thickBot="1">
      <c r="A37" s="144"/>
      <c r="B37" s="20" t="s">
        <v>30</v>
      </c>
      <c r="C37" s="55" t="s">
        <v>6</v>
      </c>
      <c r="D37" s="65">
        <f aca="true" t="shared" si="10" ref="D37:R37">IF(D35=0,"",(D36/D35)*1000)</f>
      </c>
      <c r="E37" s="56">
        <f t="shared" si="10"/>
        <v>40075.50853328295</v>
      </c>
      <c r="F37" s="56">
        <f t="shared" si="10"/>
        <v>41250.03825554706</v>
      </c>
      <c r="G37" s="56">
        <f t="shared" si="10"/>
      </c>
      <c r="H37" s="56">
        <f t="shared" si="10"/>
      </c>
      <c r="I37" s="57">
        <f t="shared" si="10"/>
      </c>
      <c r="J37" s="58">
        <f t="shared" si="10"/>
        <v>40865.92247806566</v>
      </c>
      <c r="K37" s="57">
        <f t="shared" si="10"/>
      </c>
      <c r="L37" s="56">
        <f t="shared" si="10"/>
        <v>46747.56811815635</v>
      </c>
      <c r="M37" s="56">
        <f t="shared" si="10"/>
      </c>
      <c r="N37" s="56">
        <f t="shared" si="10"/>
      </c>
      <c r="O37" s="56">
        <f t="shared" si="10"/>
        <v>41829.01659704188</v>
      </c>
      <c r="P37" s="57">
        <f t="shared" si="10"/>
        <v>43070.35426972468</v>
      </c>
      <c r="Q37" s="58">
        <f t="shared" si="10"/>
        <v>43933.85987949946</v>
      </c>
      <c r="R37" s="59">
        <f t="shared" si="10"/>
        <v>42954.641669186574</v>
      </c>
      <c r="S37" s="45"/>
    </row>
    <row r="38" spans="1:19" s="46" customFormat="1" ht="13.5" customHeight="1">
      <c r="A38" s="142" t="s">
        <v>52</v>
      </c>
      <c r="B38" s="47" t="s">
        <v>26</v>
      </c>
      <c r="C38" s="48" t="s">
        <v>4</v>
      </c>
      <c r="D38" s="105">
        <f>'P一般'!D38+'B一般'!D38</f>
        <v>45</v>
      </c>
      <c r="E38" s="106">
        <f>'P一般'!E38+'B一般'!E38</f>
        <v>22072</v>
      </c>
      <c r="F38" s="106">
        <f>'P一般'!F38+'B一般'!F38</f>
        <v>36278</v>
      </c>
      <c r="G38" s="106">
        <f>'P一般'!G38+'B一般'!G38</f>
        <v>23047</v>
      </c>
      <c r="H38" s="133">
        <f>'P一般'!H38+'B一般'!H38</f>
        <v>67467</v>
      </c>
      <c r="I38" s="107">
        <f>'P一般'!I38+'B一般'!I38</f>
        <v>203</v>
      </c>
      <c r="J38" s="131">
        <f>SUM(D38:I38)</f>
        <v>149112</v>
      </c>
      <c r="K38" s="107">
        <f>'P一般'!K38+'B一般'!K38</f>
        <v>61620</v>
      </c>
      <c r="L38" s="133">
        <f>'P一般'!L38+'B一般'!L38</f>
        <v>21152</v>
      </c>
      <c r="M38" s="106">
        <f>'P一般'!M38+'B一般'!M38</f>
        <v>292</v>
      </c>
      <c r="N38" s="106">
        <f>'P一般'!N38+'B一般'!N38</f>
        <v>367</v>
      </c>
      <c r="O38" s="106">
        <f>'P一般'!O38+'B一般'!O38</f>
        <v>28468</v>
      </c>
      <c r="P38" s="107">
        <f>'P一般'!P38+'B一般'!P38</f>
        <v>70</v>
      </c>
      <c r="Q38" s="131">
        <f>SUM(K38:P38)</f>
        <v>111969</v>
      </c>
      <c r="R38" s="134">
        <f>J38+Q38</f>
        <v>261081</v>
      </c>
      <c r="S38" s="45"/>
    </row>
    <row r="39" spans="1:19" s="46" customFormat="1" ht="13.5" customHeight="1">
      <c r="A39" s="143"/>
      <c r="B39" s="47" t="s">
        <v>28</v>
      </c>
      <c r="C39" s="48" t="s">
        <v>5</v>
      </c>
      <c r="D39" s="105">
        <f>'P一般'!D39+'B一般'!D39</f>
        <v>22726</v>
      </c>
      <c r="E39" s="106">
        <f>'P一般'!E39+'B一般'!E39</f>
        <v>861131</v>
      </c>
      <c r="F39" s="106">
        <f>'P一般'!F39+'B一般'!F39</f>
        <v>1399136</v>
      </c>
      <c r="G39" s="106">
        <f>'P一般'!G39+'B一般'!G39</f>
        <v>934114</v>
      </c>
      <c r="H39" s="133">
        <f>'P一般'!H39+'B一般'!H39</f>
        <v>2598982</v>
      </c>
      <c r="I39" s="107">
        <f>'P一般'!I39+'B一般'!I39</f>
        <v>73901</v>
      </c>
      <c r="J39" s="131">
        <f>SUM(D39:I39)</f>
        <v>5889990</v>
      </c>
      <c r="K39" s="107">
        <f>'P一般'!K39+'B一般'!K39</f>
        <v>2905250</v>
      </c>
      <c r="L39" s="133">
        <f>'P一般'!L39+'B一般'!L39</f>
        <v>1243211</v>
      </c>
      <c r="M39" s="106">
        <f>'P一般'!M39+'B一般'!M39</f>
        <v>56309</v>
      </c>
      <c r="N39" s="106">
        <f>'P一般'!N39+'B一般'!N39</f>
        <v>106638</v>
      </c>
      <c r="O39" s="106">
        <f>'P一般'!O39+'B一般'!O39</f>
        <v>1258594</v>
      </c>
      <c r="P39" s="107">
        <f>'P一般'!P39+'B一般'!P39</f>
        <v>65857</v>
      </c>
      <c r="Q39" s="131">
        <f>SUM(K39:P39)</f>
        <v>5635859</v>
      </c>
      <c r="R39" s="134">
        <f>J39+Q39</f>
        <v>11525849</v>
      </c>
      <c r="S39" s="45"/>
    </row>
    <row r="40" spans="1:19" s="46" customFormat="1" ht="13.5" customHeight="1" thickBot="1">
      <c r="A40" s="144"/>
      <c r="B40" s="20" t="s">
        <v>30</v>
      </c>
      <c r="C40" s="55" t="s">
        <v>6</v>
      </c>
      <c r="D40" s="65">
        <f aca="true" t="shared" si="11" ref="D40:R40">IF(D38=0,"",(D39/D38)*1000)</f>
        <v>505022.22222222225</v>
      </c>
      <c r="E40" s="56">
        <f t="shared" si="11"/>
        <v>39014.63392533527</v>
      </c>
      <c r="F40" s="56">
        <f t="shared" si="11"/>
        <v>38567.0654391091</v>
      </c>
      <c r="G40" s="56">
        <f t="shared" si="11"/>
        <v>40530.82830737189</v>
      </c>
      <c r="H40" s="130">
        <f t="shared" si="11"/>
        <v>38522.27014688663</v>
      </c>
      <c r="I40" s="57">
        <f t="shared" si="11"/>
        <v>364044.33497536945</v>
      </c>
      <c r="J40" s="132">
        <f t="shared" si="11"/>
        <v>39500.44262031225</v>
      </c>
      <c r="K40" s="57">
        <f t="shared" si="11"/>
        <v>47147.841609866926</v>
      </c>
      <c r="L40" s="130">
        <f t="shared" si="11"/>
        <v>58775.10400907716</v>
      </c>
      <c r="M40" s="56">
        <f t="shared" si="11"/>
        <v>192839.04109589042</v>
      </c>
      <c r="N40" s="56">
        <f t="shared" si="11"/>
        <v>290566.75749318796</v>
      </c>
      <c r="O40" s="56">
        <f t="shared" si="11"/>
        <v>44210.8332162428</v>
      </c>
      <c r="P40" s="57">
        <f t="shared" si="11"/>
        <v>940814.2857142857</v>
      </c>
      <c r="Q40" s="132">
        <f t="shared" si="11"/>
        <v>50334.10140306692</v>
      </c>
      <c r="R40" s="135">
        <f t="shared" si="11"/>
        <v>44146.64031469161</v>
      </c>
      <c r="S40" s="45"/>
    </row>
    <row r="41" spans="1:19" s="46" customFormat="1" ht="18" customHeight="1">
      <c r="A41" s="142" t="s">
        <v>7</v>
      </c>
      <c r="B41" s="47" t="s">
        <v>26</v>
      </c>
      <c r="C41" s="48" t="s">
        <v>4</v>
      </c>
      <c r="D41" s="105">
        <f>'P一般'!D41+'B一般'!D41</f>
        <v>976585</v>
      </c>
      <c r="E41" s="106">
        <f>'P一般'!E41+'B一般'!E41</f>
        <v>1231705</v>
      </c>
      <c r="F41" s="106">
        <f>'P一般'!F41+'B一般'!F41</f>
        <v>1181048</v>
      </c>
      <c r="G41" s="106">
        <f>'P一般'!G41+'B一般'!G41</f>
        <v>792489</v>
      </c>
      <c r="H41" s="133">
        <f>'P一般'!H41+'B一般'!H41</f>
        <v>1204019</v>
      </c>
      <c r="I41" s="107">
        <f>'P一般'!I41+'B一般'!I41</f>
        <v>979619</v>
      </c>
      <c r="J41" s="131">
        <f>'P一般'!J41+'B一般'!J41</f>
        <v>6365465</v>
      </c>
      <c r="K41" s="107">
        <f>'P一般'!K41+'B一般'!K41</f>
        <v>993463</v>
      </c>
      <c r="L41" s="133">
        <f>'P一般'!L41+'B一般'!L41</f>
        <v>1193770</v>
      </c>
      <c r="M41" s="106">
        <f>'P一般'!M41+'B一般'!M41</f>
        <v>1201466</v>
      </c>
      <c r="N41" s="106">
        <f>'P一般'!N41+'B一般'!N41</f>
        <v>990171</v>
      </c>
      <c r="O41" s="106">
        <f>'P一般'!O41+'B一般'!O41</f>
        <v>1306711</v>
      </c>
      <c r="P41" s="107">
        <f>'P一般'!P41+'B一般'!P41</f>
        <v>1363772</v>
      </c>
      <c r="Q41" s="131">
        <f>'P一般'!Q41+'B一般'!Q41</f>
        <v>7049353</v>
      </c>
      <c r="R41" s="134">
        <f>J41+Q41</f>
        <v>13414818</v>
      </c>
      <c r="S41" s="45"/>
    </row>
    <row r="42" spans="1:19" s="46" customFormat="1" ht="18" customHeight="1">
      <c r="A42" s="143"/>
      <c r="B42" s="47" t="s">
        <v>28</v>
      </c>
      <c r="C42" s="48" t="s">
        <v>5</v>
      </c>
      <c r="D42" s="105">
        <f>'P一般'!D42+'B一般'!D42</f>
        <v>31768681</v>
      </c>
      <c r="E42" s="106">
        <f>'P一般'!E42+'B一般'!E42</f>
        <v>45605747</v>
      </c>
      <c r="F42" s="133">
        <f>'P一般'!F42+'B一般'!F42</f>
        <v>46916374</v>
      </c>
      <c r="G42" s="133">
        <f>'P一般'!G42+'B一般'!G42</f>
        <v>31316281</v>
      </c>
      <c r="H42" s="133">
        <f>'P一般'!H42+'B一般'!H42</f>
        <v>47533608</v>
      </c>
      <c r="I42" s="107">
        <f>'P一般'!I42+'B一般'!I42</f>
        <v>41888567</v>
      </c>
      <c r="J42" s="131">
        <f>'P一般'!J42+'B一般'!J42</f>
        <v>245029258</v>
      </c>
      <c r="K42" s="107">
        <f>'P一般'!K42+'B一般'!K42</f>
        <v>46081487</v>
      </c>
      <c r="L42" s="133">
        <f>'P一般'!L42+'B一般'!L42</f>
        <v>59303466</v>
      </c>
      <c r="M42" s="106">
        <f>'P一般'!M42+'B一般'!M42</f>
        <v>59597372</v>
      </c>
      <c r="N42" s="106">
        <f>'P一般'!N42+'B一般'!N42</f>
        <v>45863757</v>
      </c>
      <c r="O42" s="106">
        <f>'P一般'!O42+'B一般'!O42</f>
        <v>54667977</v>
      </c>
      <c r="P42" s="107">
        <f>'P一般'!P42+'B一般'!P42</f>
        <v>58000470</v>
      </c>
      <c r="Q42" s="131">
        <f>'P一般'!Q42+'B一般'!Q42</f>
        <v>323514529</v>
      </c>
      <c r="R42" s="134">
        <f>J42+Q42</f>
        <v>568543787</v>
      </c>
      <c r="S42" s="45"/>
    </row>
    <row r="43" spans="1:19" s="46" customFormat="1" ht="18" customHeight="1" thickBot="1">
      <c r="A43" s="145"/>
      <c r="B43" s="20" t="s">
        <v>30</v>
      </c>
      <c r="C43" s="55" t="s">
        <v>6</v>
      </c>
      <c r="D43" s="65">
        <f aca="true" t="shared" si="12" ref="D43:R43">IF(D41=0,"",(D42/D41)*1000)</f>
        <v>32530.37984404839</v>
      </c>
      <c r="E43" s="56">
        <f t="shared" si="12"/>
        <v>37026.517713251145</v>
      </c>
      <c r="F43" s="130">
        <f t="shared" si="12"/>
        <v>39724.35836646775</v>
      </c>
      <c r="G43" s="130">
        <f t="shared" si="12"/>
        <v>39516.36047945145</v>
      </c>
      <c r="H43" s="130">
        <f t="shared" si="12"/>
        <v>39479.11785445246</v>
      </c>
      <c r="I43" s="57">
        <f t="shared" si="12"/>
        <v>42760.059778342395</v>
      </c>
      <c r="J43" s="132">
        <f t="shared" si="12"/>
        <v>38493.53629310663</v>
      </c>
      <c r="K43" s="57">
        <f t="shared" si="12"/>
        <v>46384.70380879811</v>
      </c>
      <c r="L43" s="130">
        <f t="shared" si="12"/>
        <v>49677.46383306667</v>
      </c>
      <c r="M43" s="56">
        <f t="shared" si="12"/>
        <v>49603.87726327669</v>
      </c>
      <c r="N43" s="56">
        <f t="shared" si="12"/>
        <v>46319.02671356766</v>
      </c>
      <c r="O43" s="56">
        <f t="shared" si="12"/>
        <v>41836.318053494615</v>
      </c>
      <c r="P43" s="57">
        <f t="shared" si="12"/>
        <v>42529.44773759837</v>
      </c>
      <c r="Q43" s="132">
        <f t="shared" si="12"/>
        <v>45892.79739573263</v>
      </c>
      <c r="R43" s="135">
        <f t="shared" si="12"/>
        <v>42381.77416942966</v>
      </c>
      <c r="S43" s="45"/>
    </row>
    <row r="44" spans="1:19" s="46" customFormat="1" ht="24" customHeight="1" thickBot="1">
      <c r="A44" s="146" t="s">
        <v>23</v>
      </c>
      <c r="B44" s="147"/>
      <c r="C44" s="148"/>
      <c r="D44" s="69">
        <f>'総合計'!D44</f>
        <v>106.25</v>
      </c>
      <c r="E44" s="70">
        <f>'総合計'!E44</f>
        <v>110.39</v>
      </c>
      <c r="F44" s="70">
        <f>'総合計'!F44</f>
        <v>111.1</v>
      </c>
      <c r="G44" s="70">
        <f>'総合計'!G44</f>
        <v>108.75</v>
      </c>
      <c r="H44" s="70">
        <f>'総合計'!H44</f>
        <v>110.45</v>
      </c>
      <c r="I44" s="71">
        <f>'総合計'!I44</f>
        <v>109.73</v>
      </c>
      <c r="J44" s="72">
        <v>109.55</v>
      </c>
      <c r="K44" s="71">
        <f>'総合計'!K44</f>
        <v>110.29</v>
      </c>
      <c r="L44" s="70">
        <f>'総合計'!L44</f>
        <v>106.67</v>
      </c>
      <c r="M44" s="70">
        <f>'総合計'!M44</f>
        <v>103.64</v>
      </c>
      <c r="N44" s="70">
        <f>'総合計'!N44</f>
        <v>103.66</v>
      </c>
      <c r="O44" s="70">
        <f>'総合計'!O44</f>
        <v>103.83</v>
      </c>
      <c r="P44" s="71">
        <f>'総合計'!P44</f>
        <v>104.83</v>
      </c>
      <c r="Q44" s="89">
        <v>105.35</v>
      </c>
      <c r="R44" s="84">
        <v>107.34</v>
      </c>
      <c r="S44" s="45"/>
    </row>
    <row r="45" spans="1:18" ht="15.75" customHeight="1">
      <c r="A45" s="113"/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10"/>
      <c r="I46" s="8"/>
      <c r="J46" s="8"/>
      <c r="K46" s="8"/>
      <c r="L46" s="8"/>
      <c r="M46" s="8"/>
      <c r="N46" s="8"/>
      <c r="O46" s="10"/>
      <c r="P46" s="10"/>
      <c r="Q46" s="8"/>
      <c r="R46" s="11"/>
    </row>
  </sheetData>
  <mergeCells count="15">
    <mergeCell ref="D2:P2"/>
    <mergeCell ref="A26:A28"/>
    <mergeCell ref="A5:A7"/>
    <mergeCell ref="A8:A10"/>
    <mergeCell ref="A11:A13"/>
    <mergeCell ref="A14:A16"/>
    <mergeCell ref="A17:A19"/>
    <mergeCell ref="A20:A22"/>
    <mergeCell ref="A23:A25"/>
    <mergeCell ref="A41:A43"/>
    <mergeCell ref="A44:C44"/>
    <mergeCell ref="A29:A31"/>
    <mergeCell ref="A32:A34"/>
    <mergeCell ref="A35:A37"/>
    <mergeCell ref="A38:A40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E5" activePane="bottomRight" state="frozen"/>
      <selection pane="topLeft" activeCell="Q3" sqref="Q3:R3"/>
      <selection pane="topRight" activeCell="Q3" sqref="Q3:R3"/>
      <selection pane="bottomLeft" activeCell="Q3" sqref="Q3:R3"/>
      <selection pane="bottomRight" activeCell="Q3" sqref="Q3:R3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140625" style="0" customWidth="1"/>
    <col min="11" max="16" width="10.7109375" style="0" customWidth="1"/>
    <col min="17" max="18" width="12.140625" style="0" customWidth="1"/>
    <col min="19" max="19" width="9.00390625" style="0" customWidth="1"/>
  </cols>
  <sheetData>
    <row r="2" spans="1:16" ht="27" customHeight="1">
      <c r="A2" s="17" t="s">
        <v>7</v>
      </c>
      <c r="B2" s="34" t="s">
        <v>75</v>
      </c>
      <c r="C2" s="1"/>
      <c r="D2" s="149" t="s">
        <v>78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8" ht="18" customHeight="1" thickBot="1">
      <c r="A3" s="21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6" t="s">
        <v>32</v>
      </c>
      <c r="B5" s="47" t="s">
        <v>26</v>
      </c>
      <c r="C5" s="48" t="s">
        <v>4</v>
      </c>
      <c r="D5" s="105">
        <f>'B原料'!D5+'P原料'!D5</f>
        <v>9880</v>
      </c>
      <c r="E5" s="106">
        <f>'B原料'!E5+'P原料'!E5</f>
        <v>0</v>
      </c>
      <c r="F5" s="106">
        <f>'B原料'!F5+'P原料'!F5</f>
        <v>0</v>
      </c>
      <c r="G5" s="106">
        <f>'B原料'!G5+'P原料'!G5</f>
        <v>0</v>
      </c>
      <c r="H5" s="106">
        <f>'B原料'!H5+'P原料'!H5</f>
        <v>7151</v>
      </c>
      <c r="I5" s="107">
        <f>'B原料'!I5+'P原料'!I5</f>
        <v>0</v>
      </c>
      <c r="J5" s="108">
        <f>SUM(D5:I5)</f>
        <v>17031</v>
      </c>
      <c r="K5" s="105">
        <f>'B原料'!K5+'P原料'!K5</f>
        <v>3785</v>
      </c>
      <c r="L5" s="106">
        <f>'B原料'!L5+'P原料'!L5</f>
        <v>28886</v>
      </c>
      <c r="M5" s="106">
        <f>'B原料'!M5+'P原料'!M5</f>
        <v>10464</v>
      </c>
      <c r="N5" s="106">
        <f>'B原料'!N5+'P原料'!N5</f>
        <v>1996</v>
      </c>
      <c r="O5" s="106">
        <f>'B原料'!O5+'P原料'!O5</f>
        <v>8995</v>
      </c>
      <c r="P5" s="107">
        <f>'B原料'!P5+'P原料'!P5</f>
        <v>0</v>
      </c>
      <c r="Q5" s="108">
        <f>SUM(K5:P5)</f>
        <v>54126</v>
      </c>
      <c r="R5" s="109">
        <f>Q5+J5</f>
        <v>71157</v>
      </c>
      <c r="S5" s="45"/>
    </row>
    <row r="6" spans="1:19" s="46" customFormat="1" ht="13.5" customHeight="1">
      <c r="A6" s="143"/>
      <c r="B6" s="47" t="s">
        <v>28</v>
      </c>
      <c r="C6" s="48" t="s">
        <v>5</v>
      </c>
      <c r="D6" s="105">
        <f>'B原料'!D6+'P原料'!D6</f>
        <v>340045</v>
      </c>
      <c r="E6" s="106">
        <f>'B原料'!E6+'P原料'!E6</f>
        <v>0</v>
      </c>
      <c r="F6" s="106">
        <f>'B原料'!F6+'P原料'!F6</f>
        <v>0</v>
      </c>
      <c r="G6" s="106">
        <f>'B原料'!G6+'P原料'!G6</f>
        <v>0</v>
      </c>
      <c r="H6" s="106">
        <f>'B原料'!H6+'P原料'!H6</f>
        <v>288603</v>
      </c>
      <c r="I6" s="107">
        <f>'B原料'!I6+'P原料'!I6</f>
        <v>0</v>
      </c>
      <c r="J6" s="108">
        <f>SUM(D6:I6)</f>
        <v>628648</v>
      </c>
      <c r="K6" s="105">
        <f>'B原料'!K6+'P原料'!K6</f>
        <v>178308</v>
      </c>
      <c r="L6" s="106">
        <f>'B原料'!L6+'P原料'!L6</f>
        <v>1098321</v>
      </c>
      <c r="M6" s="106">
        <f>'B原料'!M6+'P原料'!M6</f>
        <v>543808</v>
      </c>
      <c r="N6" s="106">
        <f>'B原料'!N6+'P原料'!N6</f>
        <v>97714</v>
      </c>
      <c r="O6" s="106">
        <f>'B原料'!O6+'P原料'!O6</f>
        <v>403073</v>
      </c>
      <c r="P6" s="107">
        <f>'B原料'!P6+'P原料'!P6</f>
        <v>0</v>
      </c>
      <c r="Q6" s="108">
        <f>SUM(K6:P6)</f>
        <v>2321224</v>
      </c>
      <c r="R6" s="109">
        <f>Q6+J6</f>
        <v>2949872</v>
      </c>
      <c r="S6" s="45"/>
    </row>
    <row r="7" spans="1:19" s="46" customFormat="1" ht="13.5" customHeight="1" thickBot="1">
      <c r="A7" s="144"/>
      <c r="B7" s="20" t="s">
        <v>30</v>
      </c>
      <c r="C7" s="55" t="s">
        <v>6</v>
      </c>
      <c r="D7" s="65">
        <f aca="true" t="shared" si="0" ref="D7:R7">IF(D5=0,"",(D6/D5)*1000)</f>
        <v>34417.51012145749</v>
      </c>
      <c r="E7" s="56">
        <f t="shared" si="0"/>
      </c>
      <c r="F7" s="56">
        <f t="shared" si="0"/>
      </c>
      <c r="G7" s="56">
        <f t="shared" si="0"/>
      </c>
      <c r="H7" s="56">
        <f t="shared" si="0"/>
        <v>40358.41141099147</v>
      </c>
      <c r="I7" s="57">
        <f t="shared" si="0"/>
      </c>
      <c r="J7" s="58">
        <f t="shared" si="0"/>
        <v>36911.98402912336</v>
      </c>
      <c r="K7" s="57">
        <f t="shared" si="0"/>
        <v>47109.11492734478</v>
      </c>
      <c r="L7" s="56">
        <f t="shared" si="0"/>
        <v>38022.60610676452</v>
      </c>
      <c r="M7" s="56">
        <f t="shared" si="0"/>
        <v>51969.41896024464</v>
      </c>
      <c r="N7" s="56">
        <f t="shared" si="0"/>
        <v>48954.90981963927</v>
      </c>
      <c r="O7" s="56">
        <f t="shared" si="0"/>
        <v>44810.783768760426</v>
      </c>
      <c r="P7" s="57">
        <f t="shared" si="0"/>
      </c>
      <c r="Q7" s="58">
        <f t="shared" si="0"/>
        <v>42885.56331522743</v>
      </c>
      <c r="R7" s="59">
        <f t="shared" si="0"/>
        <v>41455.82303919502</v>
      </c>
      <c r="S7" s="45"/>
    </row>
    <row r="8" spans="1:19" s="46" customFormat="1" ht="13.5" customHeight="1">
      <c r="A8" s="142" t="s">
        <v>33</v>
      </c>
      <c r="B8" s="47" t="s">
        <v>26</v>
      </c>
      <c r="C8" s="48" t="s">
        <v>4</v>
      </c>
      <c r="D8" s="105">
        <f>'B原料'!D8+'P原料'!D8</f>
        <v>0</v>
      </c>
      <c r="E8" s="106">
        <f>'B原料'!E8+'P原料'!E8</f>
        <v>4001</v>
      </c>
      <c r="F8" s="106">
        <f>'B原料'!F8+'P原料'!F8</f>
        <v>0</v>
      </c>
      <c r="G8" s="106">
        <f>'B原料'!G8+'P原料'!G8</f>
        <v>0</v>
      </c>
      <c r="H8" s="106">
        <f>'B原料'!H8+'P原料'!H8</f>
        <v>0</v>
      </c>
      <c r="I8" s="107">
        <f>'B原料'!I8+'P原料'!I8</f>
        <v>0</v>
      </c>
      <c r="J8" s="108">
        <f>SUM(D8:I8)</f>
        <v>4001</v>
      </c>
      <c r="K8" s="105">
        <f>'B原料'!K8+'P原料'!K8</f>
        <v>0</v>
      </c>
      <c r="L8" s="106">
        <f>'B原料'!L8+'P原料'!L8</f>
        <v>0</v>
      </c>
      <c r="M8" s="106">
        <f>'B原料'!M8+'P原料'!M8</f>
        <v>0</v>
      </c>
      <c r="N8" s="106">
        <f>'B原料'!N8+'P原料'!N8</f>
        <v>15757</v>
      </c>
      <c r="O8" s="106">
        <f>'B原料'!O8+'P原料'!O8</f>
        <v>0</v>
      </c>
      <c r="P8" s="107">
        <f>'B原料'!P8+'P原料'!P8</f>
        <v>3000</v>
      </c>
      <c r="Q8" s="108">
        <f>SUM(K8:P8)</f>
        <v>18757</v>
      </c>
      <c r="R8" s="109">
        <f>Q8+J8</f>
        <v>22758</v>
      </c>
      <c r="S8" s="45"/>
    </row>
    <row r="9" spans="1:19" s="46" customFormat="1" ht="13.5" customHeight="1">
      <c r="A9" s="143"/>
      <c r="B9" s="47" t="s">
        <v>28</v>
      </c>
      <c r="C9" s="48" t="s">
        <v>5</v>
      </c>
      <c r="D9" s="105">
        <f>'B原料'!D9+'P原料'!D9</f>
        <v>0</v>
      </c>
      <c r="E9" s="106">
        <f>'B原料'!E9+'P原料'!E9</f>
        <v>144824</v>
      </c>
      <c r="F9" s="106">
        <f>'B原料'!F9+'P原料'!F9</f>
        <v>0</v>
      </c>
      <c r="G9" s="106">
        <f>'B原料'!G9+'P原料'!G9</f>
        <v>0</v>
      </c>
      <c r="H9" s="106">
        <f>'B原料'!H9+'P原料'!H9</f>
        <v>0</v>
      </c>
      <c r="I9" s="107">
        <f>'B原料'!I9+'P原料'!I9</f>
        <v>0</v>
      </c>
      <c r="J9" s="108">
        <f>SUM(D9:I9)</f>
        <v>144824</v>
      </c>
      <c r="K9" s="105">
        <f>'B原料'!K9+'P原料'!K9</f>
        <v>0</v>
      </c>
      <c r="L9" s="106">
        <f>'B原料'!L9+'P原料'!L9</f>
        <v>0</v>
      </c>
      <c r="M9" s="106">
        <f>'B原料'!M9+'P原料'!M9</f>
        <v>0</v>
      </c>
      <c r="N9" s="106">
        <f>'B原料'!N9+'P原料'!N9</f>
        <v>643845</v>
      </c>
      <c r="O9" s="106">
        <f>'B原料'!O9+'P原料'!O9</f>
        <v>0</v>
      </c>
      <c r="P9" s="107">
        <f>'B原料'!P9+'P原料'!P9</f>
        <v>124325</v>
      </c>
      <c r="Q9" s="108">
        <f>SUM(K9:P9)</f>
        <v>768170</v>
      </c>
      <c r="R9" s="109">
        <f>Q9+J9</f>
        <v>912994</v>
      </c>
      <c r="S9" s="45"/>
    </row>
    <row r="10" spans="1:19" s="46" customFormat="1" ht="13.5" customHeight="1" thickBot="1">
      <c r="A10" s="144"/>
      <c r="B10" s="20" t="s">
        <v>30</v>
      </c>
      <c r="C10" s="55" t="s">
        <v>6</v>
      </c>
      <c r="D10" s="65">
        <f aca="true" t="shared" si="1" ref="D10:R10">IF(D8=0,"",(D9/D8)*1000)</f>
      </c>
      <c r="E10" s="56">
        <f t="shared" si="1"/>
        <v>36196.95076230942</v>
      </c>
      <c r="F10" s="56">
        <f t="shared" si="1"/>
      </c>
      <c r="G10" s="56">
        <f t="shared" si="1"/>
      </c>
      <c r="H10" s="56">
        <f t="shared" si="1"/>
      </c>
      <c r="I10" s="57">
        <f t="shared" si="1"/>
      </c>
      <c r="J10" s="58">
        <f t="shared" si="1"/>
        <v>36196.95076230942</v>
      </c>
      <c r="K10" s="57">
        <f t="shared" si="1"/>
      </c>
      <c r="L10" s="56">
        <f t="shared" si="1"/>
      </c>
      <c r="M10" s="56">
        <f t="shared" si="1"/>
      </c>
      <c r="N10" s="56">
        <f t="shared" si="1"/>
        <v>40860.88722472551</v>
      </c>
      <c r="O10" s="56">
        <f t="shared" si="1"/>
      </c>
      <c r="P10" s="57">
        <f t="shared" si="1"/>
        <v>41441.66666666667</v>
      </c>
      <c r="Q10" s="58">
        <f t="shared" si="1"/>
        <v>40953.77725649091</v>
      </c>
      <c r="R10" s="59">
        <f t="shared" si="1"/>
        <v>40117.497143861496</v>
      </c>
      <c r="S10" s="45"/>
    </row>
    <row r="11" spans="1:19" s="46" customFormat="1" ht="13.5" customHeight="1">
      <c r="A11" s="142" t="s">
        <v>35</v>
      </c>
      <c r="B11" s="47" t="s">
        <v>26</v>
      </c>
      <c r="C11" s="48" t="s">
        <v>4</v>
      </c>
      <c r="D11" s="105">
        <f>'B原料'!D11+'P原料'!D11</f>
        <v>0</v>
      </c>
      <c r="E11" s="106">
        <f>'B原料'!E11+'P原料'!E11</f>
        <v>0</v>
      </c>
      <c r="F11" s="106">
        <f>'B原料'!F11+'P原料'!F11</f>
        <v>0</v>
      </c>
      <c r="G11" s="106">
        <f>'B原料'!G11+'P原料'!G11</f>
        <v>0</v>
      </c>
      <c r="H11" s="106">
        <f>'B原料'!H11+'P原料'!H11</f>
        <v>0</v>
      </c>
      <c r="I11" s="107">
        <f>'B原料'!I11+'P原料'!I11</f>
        <v>0</v>
      </c>
      <c r="J11" s="52">
        <f>SUM(D11:I11)</f>
        <v>0</v>
      </c>
      <c r="K11" s="105">
        <f>'B原料'!K11+'P原料'!K11</f>
        <v>0</v>
      </c>
      <c r="L11" s="106">
        <f>'B原料'!L11+'P原料'!L11</f>
        <v>0</v>
      </c>
      <c r="M11" s="106">
        <f>'B原料'!M11+'P原料'!M11</f>
        <v>0</v>
      </c>
      <c r="N11" s="106">
        <f>'B原料'!N11+'P原料'!N11</f>
        <v>11569</v>
      </c>
      <c r="O11" s="106">
        <f>'B原料'!O11+'P原料'!O11</f>
        <v>0</v>
      </c>
      <c r="P11" s="107">
        <f>'B原料'!P11+'P原料'!P11</f>
        <v>0</v>
      </c>
      <c r="Q11" s="52">
        <f>SUM(K11:P11)</f>
        <v>11569</v>
      </c>
      <c r="R11" s="53">
        <f>Q11+J11</f>
        <v>11569</v>
      </c>
      <c r="S11" s="45"/>
    </row>
    <row r="12" spans="1:19" s="46" customFormat="1" ht="13.5" customHeight="1">
      <c r="A12" s="143"/>
      <c r="B12" s="47" t="s">
        <v>28</v>
      </c>
      <c r="C12" s="48" t="s">
        <v>5</v>
      </c>
      <c r="D12" s="105">
        <f>'B原料'!D12+'P原料'!D12</f>
        <v>0</v>
      </c>
      <c r="E12" s="106">
        <f>'B原料'!E12+'P原料'!E12</f>
        <v>0</v>
      </c>
      <c r="F12" s="106">
        <f>'B原料'!F12+'P原料'!F12</f>
        <v>0</v>
      </c>
      <c r="G12" s="106">
        <f>'B原料'!G12+'P原料'!G12</f>
        <v>0</v>
      </c>
      <c r="H12" s="106">
        <f>'B原料'!H12+'P原料'!H12</f>
        <v>0</v>
      </c>
      <c r="I12" s="107">
        <f>'B原料'!I12+'P原料'!I12</f>
        <v>0</v>
      </c>
      <c r="J12" s="52">
        <f>SUM(D12:I12)</f>
        <v>0</v>
      </c>
      <c r="K12" s="105">
        <f>'B原料'!K12+'P原料'!K12</f>
        <v>0</v>
      </c>
      <c r="L12" s="106">
        <f>'B原料'!L12+'P原料'!L12</f>
        <v>0</v>
      </c>
      <c r="M12" s="106">
        <f>'B原料'!M12+'P原料'!M12</f>
        <v>0</v>
      </c>
      <c r="N12" s="106">
        <f>'B原料'!N12+'P原料'!N12</f>
        <v>591770</v>
      </c>
      <c r="O12" s="106">
        <f>'B原料'!O12+'P原料'!O12</f>
        <v>0</v>
      </c>
      <c r="P12" s="107">
        <f>'B原料'!P12+'P原料'!P12</f>
        <v>0</v>
      </c>
      <c r="Q12" s="52">
        <f>SUM(K12:P12)</f>
        <v>591770</v>
      </c>
      <c r="R12" s="53">
        <f>Q12+J12</f>
        <v>591770</v>
      </c>
      <c r="S12" s="45"/>
    </row>
    <row r="13" spans="1:19" s="46" customFormat="1" ht="13.5" customHeight="1" thickBot="1">
      <c r="A13" s="144"/>
      <c r="B13" s="20" t="s">
        <v>30</v>
      </c>
      <c r="C13" s="55" t="s">
        <v>6</v>
      </c>
      <c r="D13" s="65">
        <f aca="true" t="shared" si="2" ref="D13:R13">IF(D11=0,"",(D12/D11)*1000)</f>
      </c>
      <c r="E13" s="56">
        <f t="shared" si="2"/>
      </c>
      <c r="F13" s="56">
        <f t="shared" si="2"/>
      </c>
      <c r="G13" s="56">
        <f t="shared" si="2"/>
      </c>
      <c r="H13" s="56">
        <f t="shared" si="2"/>
      </c>
      <c r="I13" s="57">
        <f t="shared" si="2"/>
      </c>
      <c r="J13" s="58">
        <f t="shared" si="2"/>
      </c>
      <c r="K13" s="57">
        <f t="shared" si="2"/>
      </c>
      <c r="L13" s="56">
        <f t="shared" si="2"/>
      </c>
      <c r="M13" s="56">
        <f t="shared" si="2"/>
      </c>
      <c r="N13" s="56">
        <f t="shared" si="2"/>
        <v>51151.35275304694</v>
      </c>
      <c r="O13" s="56">
        <f t="shared" si="2"/>
      </c>
      <c r="P13" s="57">
        <f t="shared" si="2"/>
      </c>
      <c r="Q13" s="58">
        <f t="shared" si="2"/>
        <v>51151.35275304694</v>
      </c>
      <c r="R13" s="59">
        <f t="shared" si="2"/>
        <v>51151.35275304694</v>
      </c>
      <c r="S13" s="45"/>
    </row>
    <row r="14" spans="1:19" s="46" customFormat="1" ht="13.5" customHeight="1">
      <c r="A14" s="142" t="s">
        <v>37</v>
      </c>
      <c r="B14" s="47" t="s">
        <v>26</v>
      </c>
      <c r="C14" s="48" t="s">
        <v>4</v>
      </c>
      <c r="D14" s="105">
        <f>'B原料'!D14+'P原料'!D14</f>
        <v>0</v>
      </c>
      <c r="E14" s="106">
        <f>'B原料'!E14+'P原料'!E14</f>
        <v>0</v>
      </c>
      <c r="F14" s="106">
        <f>'B原料'!F14+'P原料'!F14</f>
        <v>0</v>
      </c>
      <c r="G14" s="106">
        <f>'B原料'!G14+'P原料'!G14</f>
        <v>0</v>
      </c>
      <c r="H14" s="106">
        <f>'B原料'!H14+'P原料'!H14</f>
        <v>0</v>
      </c>
      <c r="I14" s="107">
        <f>'B原料'!I14+'P原料'!I14</f>
        <v>0</v>
      </c>
      <c r="J14" s="52">
        <f>SUM(D14:I14)</f>
        <v>0</v>
      </c>
      <c r="K14" s="105">
        <f>'B原料'!K14+'P原料'!K14</f>
        <v>0</v>
      </c>
      <c r="L14" s="106">
        <f>'B原料'!L14+'P原料'!L14</f>
        <v>0</v>
      </c>
      <c r="M14" s="106">
        <f>'B原料'!M14+'P原料'!M14</f>
        <v>0</v>
      </c>
      <c r="N14" s="106">
        <f>'B原料'!N14+'P原料'!N14</f>
        <v>0</v>
      </c>
      <c r="O14" s="106">
        <f>'B原料'!O14+'P原料'!O14</f>
        <v>0</v>
      </c>
      <c r="P14" s="107">
        <f>'B原料'!P14+'P原料'!P14</f>
        <v>0</v>
      </c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43"/>
      <c r="B15" s="47" t="s">
        <v>28</v>
      </c>
      <c r="C15" s="48" t="s">
        <v>5</v>
      </c>
      <c r="D15" s="105">
        <f>'B原料'!D15+'P原料'!D15</f>
        <v>0</v>
      </c>
      <c r="E15" s="106">
        <f>'B原料'!E15+'P原料'!E15</f>
        <v>0</v>
      </c>
      <c r="F15" s="106">
        <f>'B原料'!F15+'P原料'!F15</f>
        <v>0</v>
      </c>
      <c r="G15" s="106">
        <f>'B原料'!G15+'P原料'!G15</f>
        <v>0</v>
      </c>
      <c r="H15" s="106">
        <f>'B原料'!H15+'P原料'!H15</f>
        <v>0</v>
      </c>
      <c r="I15" s="107">
        <f>'B原料'!I15+'P原料'!I15</f>
        <v>0</v>
      </c>
      <c r="J15" s="52">
        <f>SUM(D15:I15)</f>
        <v>0</v>
      </c>
      <c r="K15" s="105">
        <f>'B原料'!K15+'P原料'!K15</f>
        <v>0</v>
      </c>
      <c r="L15" s="106">
        <f>'B原料'!L15+'P原料'!L15</f>
        <v>0</v>
      </c>
      <c r="M15" s="106">
        <f>'B原料'!M15+'P原料'!M15</f>
        <v>0</v>
      </c>
      <c r="N15" s="106">
        <f>'B原料'!N15+'P原料'!N15</f>
        <v>0</v>
      </c>
      <c r="O15" s="106">
        <f>'B原料'!O15+'P原料'!O15</f>
        <v>0</v>
      </c>
      <c r="P15" s="107">
        <f>'B原料'!P15+'P原料'!P15</f>
        <v>0</v>
      </c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44"/>
      <c r="B16" s="20" t="s">
        <v>30</v>
      </c>
      <c r="C16" s="55" t="s">
        <v>6</v>
      </c>
      <c r="D16" s="65">
        <f aca="true" t="shared" si="3" ref="D16:R16">IF(D14=0,"",(D15/D14)*1000)</f>
      </c>
      <c r="E16" s="56">
        <f t="shared" si="3"/>
      </c>
      <c r="F16" s="56">
        <f t="shared" si="3"/>
      </c>
      <c r="G16" s="56">
        <f t="shared" si="3"/>
      </c>
      <c r="H16" s="56">
        <f t="shared" si="3"/>
      </c>
      <c r="I16" s="57">
        <f t="shared" si="3"/>
      </c>
      <c r="J16" s="58">
        <f t="shared" si="3"/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</c>
      <c r="Q16" s="58">
        <f t="shared" si="3"/>
      </c>
      <c r="R16" s="59">
        <f t="shared" si="3"/>
      </c>
      <c r="S16" s="45"/>
    </row>
    <row r="17" spans="1:19" s="46" customFormat="1" ht="13.5" customHeight="1">
      <c r="A17" s="142" t="s">
        <v>39</v>
      </c>
      <c r="B17" s="47" t="s">
        <v>26</v>
      </c>
      <c r="C17" s="48" t="s">
        <v>4</v>
      </c>
      <c r="D17" s="105">
        <f>'B原料'!D17+'P原料'!D17</f>
        <v>9932</v>
      </c>
      <c r="E17" s="106">
        <f>'B原料'!E17+'P原料'!E17</f>
        <v>10159</v>
      </c>
      <c r="F17" s="106">
        <f>'B原料'!F17+'P原料'!F17</f>
        <v>0</v>
      </c>
      <c r="G17" s="106">
        <f>'B原料'!G17+'P原料'!G17</f>
        <v>0</v>
      </c>
      <c r="H17" s="106">
        <f>'B原料'!H17+'P原料'!H17</f>
        <v>0</v>
      </c>
      <c r="I17" s="107">
        <f>'B原料'!I17+'P原料'!I17</f>
        <v>0</v>
      </c>
      <c r="J17" s="108">
        <f>SUM(D17:I17)</f>
        <v>20091</v>
      </c>
      <c r="K17" s="105">
        <f>'B原料'!K17+'P原料'!K17</f>
        <v>0</v>
      </c>
      <c r="L17" s="106">
        <f>'B原料'!L17+'P原料'!L17</f>
        <v>0</v>
      </c>
      <c r="M17" s="106">
        <f>'B原料'!M17+'P原料'!M17</f>
        <v>2697</v>
      </c>
      <c r="N17" s="106">
        <f>'B原料'!N17+'P原料'!N17</f>
        <v>0</v>
      </c>
      <c r="O17" s="106">
        <f>'B原料'!O17+'P原料'!O17</f>
        <v>0</v>
      </c>
      <c r="P17" s="107">
        <f>'B原料'!P17+'P原料'!P17</f>
        <v>0</v>
      </c>
      <c r="Q17" s="108">
        <f>SUM(K17:P17)</f>
        <v>2697</v>
      </c>
      <c r="R17" s="109">
        <f>Q17+J17</f>
        <v>22788</v>
      </c>
      <c r="S17" s="45"/>
    </row>
    <row r="18" spans="1:19" s="46" customFormat="1" ht="13.5" customHeight="1">
      <c r="A18" s="143"/>
      <c r="B18" s="47" t="s">
        <v>28</v>
      </c>
      <c r="C18" s="48" t="s">
        <v>5</v>
      </c>
      <c r="D18" s="105">
        <f>'B原料'!D18+'P原料'!D18</f>
        <v>305934</v>
      </c>
      <c r="E18" s="106">
        <f>'B原料'!E18+'P原料'!E18</f>
        <v>363082</v>
      </c>
      <c r="F18" s="106">
        <f>'B原料'!F18+'P原料'!F18</f>
        <v>0</v>
      </c>
      <c r="G18" s="106">
        <f>'B原料'!G18+'P原料'!G18</f>
        <v>0</v>
      </c>
      <c r="H18" s="106">
        <f>'B原料'!H18+'P原料'!H18</f>
        <v>0</v>
      </c>
      <c r="I18" s="107">
        <f>'B原料'!I18+'P原料'!I18</f>
        <v>0</v>
      </c>
      <c r="J18" s="108">
        <f>SUM(D18:I18)</f>
        <v>669016</v>
      </c>
      <c r="K18" s="105">
        <f>'B原料'!K18+'P原料'!K18</f>
        <v>0</v>
      </c>
      <c r="L18" s="106">
        <f>'B原料'!L18+'P原料'!L18</f>
        <v>0</v>
      </c>
      <c r="M18" s="106">
        <f>'B原料'!M18+'P原料'!M18</f>
        <v>120630</v>
      </c>
      <c r="N18" s="106">
        <f>'B原料'!N18+'P原料'!N18</f>
        <v>0</v>
      </c>
      <c r="O18" s="106">
        <f>'B原料'!O18+'P原料'!O18</f>
        <v>0</v>
      </c>
      <c r="P18" s="107">
        <f>'B原料'!P18+'P原料'!P18</f>
        <v>0</v>
      </c>
      <c r="Q18" s="108">
        <f>SUM(K18:P18)</f>
        <v>120630</v>
      </c>
      <c r="R18" s="109">
        <f>Q18+J18</f>
        <v>789646</v>
      </c>
      <c r="S18" s="45"/>
    </row>
    <row r="19" spans="1:19" s="46" customFormat="1" ht="13.5" customHeight="1" thickBot="1">
      <c r="A19" s="144"/>
      <c r="B19" s="20" t="s">
        <v>30</v>
      </c>
      <c r="C19" s="55" t="s">
        <v>6</v>
      </c>
      <c r="D19" s="65">
        <f aca="true" t="shared" si="4" ref="D19:R19">IF(D17=0,"",(D18/D17)*1000)</f>
        <v>30802.8594442207</v>
      </c>
      <c r="E19" s="56">
        <f t="shared" si="4"/>
        <v>35739.935032975685</v>
      </c>
      <c r="F19" s="56">
        <f t="shared" si="4"/>
      </c>
      <c r="G19" s="56">
        <f t="shared" si="4"/>
      </c>
      <c r="H19" s="56">
        <f t="shared" si="4"/>
      </c>
      <c r="I19" s="57">
        <f t="shared" si="4"/>
      </c>
      <c r="J19" s="58">
        <f t="shared" si="4"/>
        <v>33299.28823851475</v>
      </c>
      <c r="K19" s="57">
        <f t="shared" si="4"/>
      </c>
      <c r="L19" s="56">
        <f t="shared" si="4"/>
      </c>
      <c r="M19" s="56">
        <f t="shared" si="4"/>
        <v>44727.474972191325</v>
      </c>
      <c r="N19" s="56">
        <f t="shared" si="4"/>
      </c>
      <c r="O19" s="56">
        <f t="shared" si="4"/>
      </c>
      <c r="P19" s="57">
        <f t="shared" si="4"/>
      </c>
      <c r="Q19" s="58">
        <f t="shared" si="4"/>
        <v>44727.474972191325</v>
      </c>
      <c r="R19" s="59">
        <f t="shared" si="4"/>
        <v>34651.834298753725</v>
      </c>
      <c r="S19" s="45"/>
    </row>
    <row r="20" spans="1:19" s="46" customFormat="1" ht="13.5" customHeight="1">
      <c r="A20" s="151" t="s">
        <v>41</v>
      </c>
      <c r="B20" s="47" t="s">
        <v>26</v>
      </c>
      <c r="C20" s="48" t="s">
        <v>4</v>
      </c>
      <c r="D20" s="105">
        <f>'B原料'!D20+'P原料'!D20</f>
        <v>13462</v>
      </c>
      <c r="E20" s="106">
        <f>'B原料'!E20+'P原料'!E20</f>
        <v>0</v>
      </c>
      <c r="F20" s="106">
        <f>'B原料'!F20+'P原料'!F20</f>
        <v>0</v>
      </c>
      <c r="G20" s="106">
        <f>'B原料'!G20+'P原料'!G20</f>
        <v>0</v>
      </c>
      <c r="H20" s="106">
        <f>'B原料'!H20+'P原料'!H20</f>
        <v>0</v>
      </c>
      <c r="I20" s="107">
        <f>'B原料'!I20+'P原料'!I20</f>
        <v>0</v>
      </c>
      <c r="J20" s="108">
        <f>SUM(D20:I20)</f>
        <v>13462</v>
      </c>
      <c r="K20" s="105">
        <f>'B原料'!K20+'P原料'!K20</f>
        <v>8977</v>
      </c>
      <c r="L20" s="106">
        <f>'B原料'!L20+'P原料'!L20</f>
        <v>0</v>
      </c>
      <c r="M20" s="106">
        <f>'B原料'!M20+'P原料'!M20</f>
        <v>1500</v>
      </c>
      <c r="N20" s="106">
        <f>'B原料'!N20+'P原料'!N20</f>
        <v>0</v>
      </c>
      <c r="O20" s="106">
        <f>'B原料'!O20+'P原料'!O20</f>
        <v>0</v>
      </c>
      <c r="P20" s="107">
        <f>'B原料'!P20+'P原料'!P20</f>
        <v>1500</v>
      </c>
      <c r="Q20" s="108">
        <f>SUM(K20:P20)</f>
        <v>11977</v>
      </c>
      <c r="R20" s="109">
        <f>Q20+J20</f>
        <v>25439</v>
      </c>
      <c r="S20" s="45"/>
    </row>
    <row r="21" spans="1:19" s="46" customFormat="1" ht="13.5" customHeight="1">
      <c r="A21" s="152"/>
      <c r="B21" s="47" t="s">
        <v>28</v>
      </c>
      <c r="C21" s="48" t="s">
        <v>5</v>
      </c>
      <c r="D21" s="105">
        <f>'B原料'!D21+'P原料'!D21</f>
        <v>435508</v>
      </c>
      <c r="E21" s="106">
        <f>'B原料'!E21+'P原料'!E21</f>
        <v>0</v>
      </c>
      <c r="F21" s="106">
        <f>'B原料'!F21+'P原料'!F21</f>
        <v>0</v>
      </c>
      <c r="G21" s="106">
        <f>'B原料'!G21+'P原料'!G21</f>
        <v>0</v>
      </c>
      <c r="H21" s="106">
        <f>'B原料'!H21+'P原料'!H21</f>
        <v>0</v>
      </c>
      <c r="I21" s="107">
        <f>'B原料'!I21+'P原料'!I21</f>
        <v>0</v>
      </c>
      <c r="J21" s="108">
        <f>SUM(D21:I21)</f>
        <v>435508</v>
      </c>
      <c r="K21" s="105">
        <f>'B原料'!K21+'P原料'!K21</f>
        <v>365203</v>
      </c>
      <c r="L21" s="106">
        <f>'B原料'!L21+'P原料'!L21</f>
        <v>0</v>
      </c>
      <c r="M21" s="106">
        <f>'B原料'!M21+'P原料'!M21</f>
        <v>71807</v>
      </c>
      <c r="N21" s="106">
        <f>'B原料'!N21+'P原料'!N21</f>
        <v>0</v>
      </c>
      <c r="O21" s="106">
        <f>'B原料'!O21+'P原料'!O21</f>
        <v>0</v>
      </c>
      <c r="P21" s="107">
        <f>'B原料'!P21+'P原料'!P21</f>
        <v>64549</v>
      </c>
      <c r="Q21" s="108">
        <f>SUM(K21:P21)</f>
        <v>501559</v>
      </c>
      <c r="R21" s="109">
        <f>Q21+J21</f>
        <v>937067</v>
      </c>
      <c r="S21" s="45"/>
    </row>
    <row r="22" spans="1:19" s="46" customFormat="1" ht="13.5" customHeight="1" thickBot="1">
      <c r="A22" s="153"/>
      <c r="B22" s="20" t="s">
        <v>30</v>
      </c>
      <c r="C22" s="55" t="s">
        <v>6</v>
      </c>
      <c r="D22" s="65">
        <f aca="true" t="shared" si="5" ref="D22:R22">IF(D20=0,"",(D21/D20)*1000)</f>
        <v>32350.913682959443</v>
      </c>
      <c r="E22" s="56">
        <f t="shared" si="5"/>
      </c>
      <c r="F22" s="56">
        <f t="shared" si="5"/>
      </c>
      <c r="G22" s="56">
        <f t="shared" si="5"/>
      </c>
      <c r="H22" s="56">
        <f t="shared" si="5"/>
      </c>
      <c r="I22" s="57">
        <f t="shared" si="5"/>
      </c>
      <c r="J22" s="58">
        <f t="shared" si="5"/>
        <v>32350.913682959443</v>
      </c>
      <c r="K22" s="57">
        <f t="shared" si="5"/>
        <v>40682.07641751142</v>
      </c>
      <c r="L22" s="56">
        <f t="shared" si="5"/>
      </c>
      <c r="M22" s="56">
        <f t="shared" si="5"/>
        <v>47871.333333333336</v>
      </c>
      <c r="N22" s="56">
        <f t="shared" si="5"/>
      </c>
      <c r="O22" s="56">
        <f t="shared" si="5"/>
      </c>
      <c r="P22" s="57">
        <f t="shared" si="5"/>
        <v>43032.666666666664</v>
      </c>
      <c r="Q22" s="58">
        <f t="shared" si="5"/>
        <v>41876.84729064039</v>
      </c>
      <c r="R22" s="59">
        <f t="shared" si="5"/>
        <v>36835.84260387594</v>
      </c>
      <c r="S22" s="45"/>
    </row>
    <row r="23" spans="1:19" s="46" customFormat="1" ht="13.5" customHeight="1">
      <c r="A23" s="142" t="s">
        <v>42</v>
      </c>
      <c r="B23" s="47" t="s">
        <v>26</v>
      </c>
      <c r="C23" s="48" t="s">
        <v>4</v>
      </c>
      <c r="D23" s="105">
        <f>'B原料'!D23+'P原料'!D23</f>
        <v>5038</v>
      </c>
      <c r="E23" s="106">
        <f>'B原料'!E23+'P原料'!E23</f>
        <v>4051</v>
      </c>
      <c r="F23" s="106">
        <f>'B原料'!F23+'P原料'!F23</f>
        <v>0</v>
      </c>
      <c r="G23" s="106">
        <f>'B原料'!G23+'P原料'!G23</f>
        <v>0</v>
      </c>
      <c r="H23" s="106">
        <f>'B原料'!H23+'P原料'!H23</f>
        <v>0</v>
      </c>
      <c r="I23" s="107">
        <f>'B原料'!I23+'P原料'!I23</f>
        <v>0</v>
      </c>
      <c r="J23" s="108">
        <f>SUM(D23:I23)</f>
        <v>9089</v>
      </c>
      <c r="K23" s="105">
        <f>'B原料'!K23+'P原料'!K23</f>
        <v>0</v>
      </c>
      <c r="L23" s="106">
        <f>'B原料'!L23+'P原料'!L23</f>
        <v>0</v>
      </c>
      <c r="M23" s="106">
        <f>'B原料'!M23+'P原料'!M23</f>
        <v>0</v>
      </c>
      <c r="N23" s="106">
        <f>'B原料'!N23+'P原料'!N23</f>
        <v>0</v>
      </c>
      <c r="O23" s="106">
        <f>'B原料'!O23+'P原料'!O23</f>
        <v>0</v>
      </c>
      <c r="P23" s="107">
        <f>'B原料'!P23+'P原料'!P23</f>
        <v>0</v>
      </c>
      <c r="Q23" s="108">
        <f>SUM(K23:P23)</f>
        <v>0</v>
      </c>
      <c r="R23" s="109">
        <f>Q23+J23</f>
        <v>9089</v>
      </c>
      <c r="S23" s="45"/>
    </row>
    <row r="24" spans="1:19" s="46" customFormat="1" ht="13.5" customHeight="1">
      <c r="A24" s="143"/>
      <c r="B24" s="47" t="s">
        <v>28</v>
      </c>
      <c r="C24" s="48" t="s">
        <v>5</v>
      </c>
      <c r="D24" s="105">
        <f>'B原料'!D24+'P原料'!D24</f>
        <v>147345</v>
      </c>
      <c r="E24" s="106">
        <f>'B原料'!E24+'P原料'!E24</f>
        <v>152655</v>
      </c>
      <c r="F24" s="106">
        <f>'B原料'!F24+'P原料'!F24</f>
        <v>0</v>
      </c>
      <c r="G24" s="106">
        <f>'B原料'!G24+'P原料'!G24</f>
        <v>0</v>
      </c>
      <c r="H24" s="106">
        <f>'B原料'!H24+'P原料'!H24</f>
        <v>0</v>
      </c>
      <c r="I24" s="107">
        <f>'B原料'!I24+'P原料'!I24</f>
        <v>0</v>
      </c>
      <c r="J24" s="108">
        <f>SUM(D24:I24)</f>
        <v>300000</v>
      </c>
      <c r="K24" s="105">
        <f>'B原料'!K24+'P原料'!K24</f>
        <v>0</v>
      </c>
      <c r="L24" s="106">
        <f>'B原料'!L24+'P原料'!L24</f>
        <v>0</v>
      </c>
      <c r="M24" s="106">
        <f>'B原料'!M24+'P原料'!M24</f>
        <v>0</v>
      </c>
      <c r="N24" s="106">
        <f>'B原料'!N24+'P原料'!N24</f>
        <v>0</v>
      </c>
      <c r="O24" s="106">
        <f>'B原料'!O24+'P原料'!O24</f>
        <v>0</v>
      </c>
      <c r="P24" s="107">
        <f>'B原料'!P24+'P原料'!P24</f>
        <v>0</v>
      </c>
      <c r="Q24" s="108">
        <f>SUM(K24:P24)</f>
        <v>0</v>
      </c>
      <c r="R24" s="109">
        <f>Q24+J24</f>
        <v>300000</v>
      </c>
      <c r="S24" s="45"/>
    </row>
    <row r="25" spans="1:19" s="46" customFormat="1" ht="13.5" customHeight="1" thickBot="1">
      <c r="A25" s="144"/>
      <c r="B25" s="20" t="s">
        <v>30</v>
      </c>
      <c r="C25" s="55" t="s">
        <v>6</v>
      </c>
      <c r="D25" s="65">
        <f aca="true" t="shared" si="6" ref="D25:R25">IF(D23=0,"",(D24/D23)*1000)</f>
        <v>29246.724890829693</v>
      </c>
      <c r="E25" s="56">
        <f t="shared" si="6"/>
        <v>37683.28807701802</v>
      </c>
      <c r="F25" s="56">
        <f t="shared" si="6"/>
      </c>
      <c r="G25" s="56">
        <f t="shared" si="6"/>
      </c>
      <c r="H25" s="56">
        <f t="shared" si="6"/>
      </c>
      <c r="I25" s="57">
        <f t="shared" si="6"/>
      </c>
      <c r="J25" s="58">
        <f t="shared" si="6"/>
        <v>33006.93145560567</v>
      </c>
      <c r="K25" s="57">
        <f t="shared" si="6"/>
      </c>
      <c r="L25" s="56">
        <f t="shared" si="6"/>
      </c>
      <c r="M25" s="56">
        <f t="shared" si="6"/>
      </c>
      <c r="N25" s="56">
        <f t="shared" si="6"/>
      </c>
      <c r="O25" s="56">
        <f t="shared" si="6"/>
      </c>
      <c r="P25" s="57">
        <f t="shared" si="6"/>
      </c>
      <c r="Q25" s="58">
        <f t="shared" si="6"/>
      </c>
      <c r="R25" s="59">
        <f t="shared" si="6"/>
        <v>33006.93145560567</v>
      </c>
      <c r="S25" s="45"/>
    </row>
    <row r="26" spans="1:19" s="46" customFormat="1" ht="13.5" customHeight="1">
      <c r="A26" s="142" t="s">
        <v>44</v>
      </c>
      <c r="B26" s="47" t="s">
        <v>26</v>
      </c>
      <c r="C26" s="48" t="s">
        <v>4</v>
      </c>
      <c r="D26" s="105">
        <f>'B原料'!D26+'P原料'!D26</f>
        <v>0</v>
      </c>
      <c r="E26" s="106">
        <f>'B原料'!E26+'P原料'!E26</f>
        <v>3000</v>
      </c>
      <c r="F26" s="106">
        <f>'B原料'!F26+'P原料'!F26</f>
        <v>0</v>
      </c>
      <c r="G26" s="106">
        <f>'B原料'!G26+'P原料'!G26</f>
        <v>0</v>
      </c>
      <c r="H26" s="106">
        <f>'B原料'!H26+'P原料'!H26</f>
        <v>9980</v>
      </c>
      <c r="I26" s="107">
        <f>'B原料'!I26+'P原料'!I26</f>
        <v>0</v>
      </c>
      <c r="J26" s="108">
        <f>SUM(D26:I26)</f>
        <v>12980</v>
      </c>
      <c r="K26" s="105">
        <f>'B原料'!K26+'P原料'!K26</f>
        <v>0</v>
      </c>
      <c r="L26" s="106">
        <f>'B原料'!L26+'P原料'!L26</f>
        <v>0</v>
      </c>
      <c r="M26" s="106">
        <f>'B原料'!M26+'P原料'!M26</f>
        <v>0</v>
      </c>
      <c r="N26" s="106">
        <f>'B原料'!N26+'P原料'!N26</f>
        <v>0</v>
      </c>
      <c r="O26" s="106">
        <f>'B原料'!O26+'P原料'!O26</f>
        <v>0</v>
      </c>
      <c r="P26" s="107">
        <f>'B原料'!P26+'P原料'!P26</f>
        <v>0</v>
      </c>
      <c r="Q26" s="108">
        <f>SUM(K26:P26)</f>
        <v>0</v>
      </c>
      <c r="R26" s="109">
        <f>Q26+J26</f>
        <v>12980</v>
      </c>
      <c r="S26" s="45"/>
    </row>
    <row r="27" spans="1:19" s="46" customFormat="1" ht="13.5" customHeight="1">
      <c r="A27" s="143"/>
      <c r="B27" s="47" t="s">
        <v>28</v>
      </c>
      <c r="C27" s="48" t="s">
        <v>5</v>
      </c>
      <c r="D27" s="105">
        <f>'B原料'!D27+'P原料'!D27</f>
        <v>0</v>
      </c>
      <c r="E27" s="106">
        <f>'B原料'!E27+'P原料'!E27</f>
        <v>107950</v>
      </c>
      <c r="F27" s="106">
        <f>'B原料'!F27+'P原料'!F27</f>
        <v>0</v>
      </c>
      <c r="G27" s="106">
        <f>'B原料'!G27+'P原料'!G27</f>
        <v>0</v>
      </c>
      <c r="H27" s="106">
        <f>'B原料'!H27+'P原料'!H27</f>
        <v>396288</v>
      </c>
      <c r="I27" s="107">
        <f>'B原料'!I27+'P原料'!I27</f>
        <v>0</v>
      </c>
      <c r="J27" s="108">
        <f>SUM(D27:I27)</f>
        <v>504238</v>
      </c>
      <c r="K27" s="105">
        <f>'B原料'!K27+'P原料'!K27</f>
        <v>0</v>
      </c>
      <c r="L27" s="106">
        <f>'B原料'!L27+'P原料'!L27</f>
        <v>0</v>
      </c>
      <c r="M27" s="106">
        <f>'B原料'!M27+'P原料'!M27</f>
        <v>0</v>
      </c>
      <c r="N27" s="106">
        <f>'B原料'!N27+'P原料'!N27</f>
        <v>0</v>
      </c>
      <c r="O27" s="106">
        <f>'B原料'!O27+'P原料'!O27</f>
        <v>0</v>
      </c>
      <c r="P27" s="107">
        <f>'B原料'!P27+'P原料'!P27</f>
        <v>0</v>
      </c>
      <c r="Q27" s="108">
        <f>SUM(K27:P27)</f>
        <v>0</v>
      </c>
      <c r="R27" s="109">
        <f>Q27+J27</f>
        <v>504238</v>
      </c>
      <c r="S27" s="45"/>
    </row>
    <row r="28" spans="1:19" s="46" customFormat="1" ht="13.5" customHeight="1" thickBot="1">
      <c r="A28" s="144"/>
      <c r="B28" s="20" t="s">
        <v>30</v>
      </c>
      <c r="C28" s="55" t="s">
        <v>6</v>
      </c>
      <c r="D28" s="65">
        <f aca="true" t="shared" si="7" ref="D28:R28">IF(D26=0,"",(D27/D26)*1000)</f>
      </c>
      <c r="E28" s="56">
        <f t="shared" si="7"/>
        <v>35983.333333333336</v>
      </c>
      <c r="F28" s="56">
        <f t="shared" si="7"/>
      </c>
      <c r="G28" s="56">
        <f t="shared" si="7"/>
      </c>
      <c r="H28" s="56">
        <f t="shared" si="7"/>
        <v>39708.21643286573</v>
      </c>
      <c r="I28" s="57">
        <f t="shared" si="7"/>
      </c>
      <c r="J28" s="58">
        <f t="shared" si="7"/>
        <v>38847.30354391371</v>
      </c>
      <c r="K28" s="57">
        <f t="shared" si="7"/>
      </c>
      <c r="L28" s="56">
        <f t="shared" si="7"/>
      </c>
      <c r="M28" s="56">
        <f t="shared" si="7"/>
      </c>
      <c r="N28" s="56">
        <f t="shared" si="7"/>
      </c>
      <c r="O28" s="56">
        <f t="shared" si="7"/>
      </c>
      <c r="P28" s="57">
        <f t="shared" si="7"/>
      </c>
      <c r="Q28" s="58">
        <f t="shared" si="7"/>
      </c>
      <c r="R28" s="59">
        <f t="shared" si="7"/>
        <v>38847.30354391371</v>
      </c>
      <c r="S28" s="45"/>
    </row>
    <row r="29" spans="1:19" s="46" customFormat="1" ht="13.5" customHeight="1">
      <c r="A29" s="142" t="s">
        <v>46</v>
      </c>
      <c r="B29" s="47" t="s">
        <v>26</v>
      </c>
      <c r="C29" s="48" t="s">
        <v>4</v>
      </c>
      <c r="D29" s="105">
        <f>'B原料'!D29+'P原料'!D29</f>
        <v>0</v>
      </c>
      <c r="E29" s="106">
        <f>'B原料'!E29+'P原料'!E29</f>
        <v>0</v>
      </c>
      <c r="F29" s="106">
        <f>'B原料'!F29+'P原料'!F29</f>
        <v>0</v>
      </c>
      <c r="G29" s="106">
        <f>'B原料'!G29+'P原料'!G29</f>
        <v>0</v>
      </c>
      <c r="H29" s="106">
        <f>'B原料'!H29+'P原料'!H29</f>
        <v>0</v>
      </c>
      <c r="I29" s="107">
        <f>'B原料'!I29+'P原料'!I29</f>
        <v>0</v>
      </c>
      <c r="J29" s="52">
        <f>SUM(D29:I29)</f>
        <v>0</v>
      </c>
      <c r="K29" s="105">
        <f>'B原料'!K29+'P原料'!K29</f>
        <v>0</v>
      </c>
      <c r="L29" s="106">
        <f>'B原料'!L29+'P原料'!L29</f>
        <v>0</v>
      </c>
      <c r="M29" s="106">
        <f>'B原料'!M29+'P原料'!M29</f>
        <v>0</v>
      </c>
      <c r="N29" s="106">
        <f>'B原料'!N29+'P原料'!N29</f>
        <v>0</v>
      </c>
      <c r="O29" s="106">
        <f>'B原料'!O29+'P原料'!O29</f>
        <v>0</v>
      </c>
      <c r="P29" s="107">
        <f>'B原料'!P29+'P原料'!P29</f>
        <v>0</v>
      </c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43"/>
      <c r="B30" s="47" t="s">
        <v>28</v>
      </c>
      <c r="C30" s="48" t="s">
        <v>5</v>
      </c>
      <c r="D30" s="105">
        <f>'B原料'!D30+'P原料'!D30</f>
        <v>0</v>
      </c>
      <c r="E30" s="106">
        <f>'B原料'!E30+'P原料'!E30</f>
        <v>0</v>
      </c>
      <c r="F30" s="106">
        <f>'B原料'!F30+'P原料'!F30</f>
        <v>0</v>
      </c>
      <c r="G30" s="106">
        <f>'B原料'!G30+'P原料'!G30</f>
        <v>0</v>
      </c>
      <c r="H30" s="106">
        <f>'B原料'!H30+'P原料'!H30</f>
        <v>0</v>
      </c>
      <c r="I30" s="107">
        <f>'B原料'!I30+'P原料'!I30</f>
        <v>0</v>
      </c>
      <c r="J30" s="52">
        <f>SUM(D30:I30)</f>
        <v>0</v>
      </c>
      <c r="K30" s="105">
        <f>'B原料'!K30+'P原料'!K30</f>
        <v>0</v>
      </c>
      <c r="L30" s="106">
        <f>'B原料'!L30+'P原料'!L30</f>
        <v>0</v>
      </c>
      <c r="M30" s="106">
        <f>'B原料'!M30+'P原料'!M30</f>
        <v>0</v>
      </c>
      <c r="N30" s="106">
        <f>'B原料'!N30+'P原料'!N30</f>
        <v>0</v>
      </c>
      <c r="O30" s="106">
        <f>'B原料'!O30+'P原料'!O30</f>
        <v>0</v>
      </c>
      <c r="P30" s="107">
        <f>'B原料'!P30+'P原料'!P30</f>
        <v>0</v>
      </c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44"/>
      <c r="B31" s="20" t="s">
        <v>30</v>
      </c>
      <c r="C31" s="55" t="s">
        <v>6</v>
      </c>
      <c r="D31" s="65">
        <f aca="true" t="shared" si="8" ref="D31:R31">IF(D29=0,"",(D30/D29)*1000)</f>
      </c>
      <c r="E31" s="56">
        <f t="shared" si="8"/>
      </c>
      <c r="F31" s="56">
        <f t="shared" si="8"/>
      </c>
      <c r="G31" s="56">
        <f t="shared" si="8"/>
      </c>
      <c r="H31" s="56">
        <f t="shared" si="8"/>
      </c>
      <c r="I31" s="57">
        <f t="shared" si="8"/>
      </c>
      <c r="J31" s="58">
        <f t="shared" si="8"/>
      </c>
      <c r="K31" s="57">
        <f t="shared" si="8"/>
      </c>
      <c r="L31" s="56">
        <f t="shared" si="8"/>
      </c>
      <c r="M31" s="56">
        <f t="shared" si="8"/>
      </c>
      <c r="N31" s="56">
        <f t="shared" si="8"/>
      </c>
      <c r="O31" s="56">
        <f t="shared" si="8"/>
      </c>
      <c r="P31" s="57">
        <f t="shared" si="8"/>
      </c>
      <c r="Q31" s="58">
        <f t="shared" si="8"/>
      </c>
      <c r="R31" s="59">
        <f t="shared" si="8"/>
      </c>
      <c r="S31" s="45"/>
    </row>
    <row r="32" spans="1:19" s="46" customFormat="1" ht="13.5" customHeight="1">
      <c r="A32" s="142" t="s">
        <v>48</v>
      </c>
      <c r="B32" s="47" t="s">
        <v>26</v>
      </c>
      <c r="C32" s="48" t="s">
        <v>4</v>
      </c>
      <c r="D32" s="105">
        <f>'B原料'!D32+'P原料'!D32</f>
        <v>0</v>
      </c>
      <c r="E32" s="106">
        <f>'B原料'!E32+'P原料'!E32</f>
        <v>0</v>
      </c>
      <c r="F32" s="106">
        <f>'B原料'!F32+'P原料'!F32</f>
        <v>0</v>
      </c>
      <c r="G32" s="106">
        <f>'B原料'!G32+'P原料'!G32</f>
        <v>0</v>
      </c>
      <c r="H32" s="106">
        <f>'B原料'!H32+'P原料'!H32</f>
        <v>0</v>
      </c>
      <c r="I32" s="107">
        <f>'B原料'!I32+'P原料'!I32</f>
        <v>0</v>
      </c>
      <c r="J32" s="52">
        <f>SUM(D32:I32)</f>
        <v>0</v>
      </c>
      <c r="K32" s="105">
        <f>'B原料'!K32+'P原料'!K32</f>
        <v>0</v>
      </c>
      <c r="L32" s="106">
        <f>'B原料'!L32+'P原料'!L32</f>
        <v>0</v>
      </c>
      <c r="M32" s="106">
        <f>'B原料'!M32+'P原料'!M32</f>
        <v>0</v>
      </c>
      <c r="N32" s="106">
        <f>'B原料'!N32+'P原料'!N32</f>
        <v>0</v>
      </c>
      <c r="O32" s="106">
        <f>'B原料'!O32+'P原料'!O32</f>
        <v>0</v>
      </c>
      <c r="P32" s="107">
        <f>'B原料'!P32+'P原料'!P32</f>
        <v>0</v>
      </c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43"/>
      <c r="B33" s="47" t="s">
        <v>28</v>
      </c>
      <c r="C33" s="48" t="s">
        <v>5</v>
      </c>
      <c r="D33" s="105">
        <f>'B原料'!D33+'P原料'!D33</f>
        <v>0</v>
      </c>
      <c r="E33" s="106">
        <f>'B原料'!E33+'P原料'!E33</f>
        <v>0</v>
      </c>
      <c r="F33" s="106">
        <f>'B原料'!F33+'P原料'!F33</f>
        <v>0</v>
      </c>
      <c r="G33" s="106">
        <f>'B原料'!G33+'P原料'!G33</f>
        <v>0</v>
      </c>
      <c r="H33" s="106">
        <f>'B原料'!H33+'P原料'!H33</f>
        <v>0</v>
      </c>
      <c r="I33" s="107">
        <f>'B原料'!I33+'P原料'!I33</f>
        <v>0</v>
      </c>
      <c r="J33" s="52">
        <f>SUM(D33:I33)</f>
        <v>0</v>
      </c>
      <c r="K33" s="105">
        <f>'B原料'!K33+'P原料'!K33</f>
        <v>0</v>
      </c>
      <c r="L33" s="106">
        <f>'B原料'!L33+'P原料'!L33</f>
        <v>0</v>
      </c>
      <c r="M33" s="106">
        <f>'B原料'!M33+'P原料'!M33</f>
        <v>0</v>
      </c>
      <c r="N33" s="106">
        <f>'B原料'!N33+'P原料'!N33</f>
        <v>0</v>
      </c>
      <c r="O33" s="106">
        <f>'B原料'!O33+'P原料'!O33</f>
        <v>0</v>
      </c>
      <c r="P33" s="107">
        <f>'B原料'!P33+'P原料'!P33</f>
        <v>0</v>
      </c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44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</c>
      <c r="F34" s="56">
        <f t="shared" si="9"/>
      </c>
      <c r="G34" s="56">
        <f t="shared" si="9"/>
      </c>
      <c r="H34" s="56">
        <f t="shared" si="9"/>
      </c>
      <c r="I34" s="57">
        <f t="shared" si="9"/>
      </c>
      <c r="J34" s="58">
        <f t="shared" si="9"/>
      </c>
      <c r="K34" s="57">
        <f t="shared" si="9"/>
      </c>
      <c r="L34" s="56">
        <f t="shared" si="9"/>
      </c>
      <c r="M34" s="56">
        <f t="shared" si="9"/>
      </c>
      <c r="N34" s="56">
        <f t="shared" si="9"/>
      </c>
      <c r="O34" s="56">
        <f t="shared" si="9"/>
      </c>
      <c r="P34" s="57">
        <f t="shared" si="9"/>
      </c>
      <c r="Q34" s="58">
        <f t="shared" si="9"/>
      </c>
      <c r="R34" s="59">
        <f t="shared" si="9"/>
      </c>
      <c r="S34" s="45"/>
    </row>
    <row r="35" spans="1:19" s="46" customFormat="1" ht="13.5" customHeight="1">
      <c r="A35" s="142" t="s">
        <v>50</v>
      </c>
      <c r="B35" s="47" t="s">
        <v>26</v>
      </c>
      <c r="C35" s="48" t="s">
        <v>4</v>
      </c>
      <c r="D35" s="105">
        <f>'B原料'!D35+'P原料'!D35</f>
        <v>0</v>
      </c>
      <c r="E35" s="106">
        <f>'B原料'!E35+'P原料'!E35</f>
        <v>0</v>
      </c>
      <c r="F35" s="106">
        <f>'B原料'!F35+'P原料'!F35</f>
        <v>0</v>
      </c>
      <c r="G35" s="106">
        <f>'B原料'!G35+'P原料'!G35</f>
        <v>0</v>
      </c>
      <c r="H35" s="106">
        <f>'B原料'!H35+'P原料'!H35</f>
        <v>0</v>
      </c>
      <c r="I35" s="107">
        <f>'B原料'!I35+'P原料'!I35</f>
        <v>0</v>
      </c>
      <c r="J35" s="52">
        <f>SUM(D35:I35)</f>
        <v>0</v>
      </c>
      <c r="K35" s="105">
        <f>'B原料'!K35+'P原料'!K35</f>
        <v>0</v>
      </c>
      <c r="L35" s="106">
        <f>'B原料'!L35+'P原料'!L35</f>
        <v>0</v>
      </c>
      <c r="M35" s="106">
        <f>'B原料'!M35+'P原料'!M35</f>
        <v>0</v>
      </c>
      <c r="N35" s="106">
        <f>'B原料'!N35+'P原料'!N35</f>
        <v>0</v>
      </c>
      <c r="O35" s="106">
        <f>'B原料'!O35+'P原料'!O35</f>
        <v>0</v>
      </c>
      <c r="P35" s="107">
        <f>'B原料'!P35+'P原料'!P35</f>
        <v>0</v>
      </c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43"/>
      <c r="B36" s="47" t="s">
        <v>28</v>
      </c>
      <c r="C36" s="48" t="s">
        <v>5</v>
      </c>
      <c r="D36" s="105">
        <f>'B原料'!D36+'P原料'!D36</f>
        <v>0</v>
      </c>
      <c r="E36" s="106">
        <f>'B原料'!E36+'P原料'!E36</f>
        <v>0</v>
      </c>
      <c r="F36" s="106">
        <f>'B原料'!F36+'P原料'!F36</f>
        <v>0</v>
      </c>
      <c r="G36" s="106">
        <f>'B原料'!G36+'P原料'!G36</f>
        <v>0</v>
      </c>
      <c r="H36" s="106">
        <f>'B原料'!H36+'P原料'!H36</f>
        <v>0</v>
      </c>
      <c r="I36" s="107">
        <f>'B原料'!I36+'P原料'!I36</f>
        <v>0</v>
      </c>
      <c r="J36" s="52">
        <f>SUM(D36:I36)</f>
        <v>0</v>
      </c>
      <c r="K36" s="105">
        <f>'B原料'!K36+'P原料'!K36</f>
        <v>0</v>
      </c>
      <c r="L36" s="106">
        <f>'B原料'!L36+'P原料'!L36</f>
        <v>0</v>
      </c>
      <c r="M36" s="106">
        <f>'B原料'!M36+'P原料'!M36</f>
        <v>0</v>
      </c>
      <c r="N36" s="106">
        <f>'B原料'!N36+'P原料'!N36</f>
        <v>0</v>
      </c>
      <c r="O36" s="106">
        <f>'B原料'!O36+'P原料'!O36</f>
        <v>0</v>
      </c>
      <c r="P36" s="107">
        <f>'B原料'!P36+'P原料'!P36</f>
        <v>0</v>
      </c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44"/>
      <c r="B37" s="20" t="s">
        <v>30</v>
      </c>
      <c r="C37" s="55" t="s">
        <v>6</v>
      </c>
      <c r="D37" s="65">
        <f aca="true" t="shared" si="10" ref="D37:R37">IF(D35=0,"",(D36/D35)*1000)</f>
      </c>
      <c r="E37" s="56">
        <f t="shared" si="10"/>
      </c>
      <c r="F37" s="56">
        <f t="shared" si="10"/>
      </c>
      <c r="G37" s="56">
        <f t="shared" si="10"/>
      </c>
      <c r="H37" s="56">
        <f t="shared" si="10"/>
      </c>
      <c r="I37" s="57">
        <f t="shared" si="10"/>
      </c>
      <c r="J37" s="58">
        <f t="shared" si="10"/>
      </c>
      <c r="K37" s="57">
        <f t="shared" si="10"/>
      </c>
      <c r="L37" s="56">
        <f t="shared" si="10"/>
      </c>
      <c r="M37" s="56">
        <f t="shared" si="10"/>
      </c>
      <c r="N37" s="56">
        <f t="shared" si="10"/>
      </c>
      <c r="O37" s="56">
        <f t="shared" si="10"/>
      </c>
      <c r="P37" s="57">
        <f t="shared" si="10"/>
      </c>
      <c r="Q37" s="58">
        <f t="shared" si="10"/>
      </c>
      <c r="R37" s="59">
        <f t="shared" si="10"/>
      </c>
      <c r="S37" s="45"/>
    </row>
    <row r="38" spans="1:19" s="46" customFormat="1" ht="13.5" customHeight="1">
      <c r="A38" s="142" t="s">
        <v>52</v>
      </c>
      <c r="B38" s="47" t="s">
        <v>26</v>
      </c>
      <c r="C38" s="48" t="s">
        <v>4</v>
      </c>
      <c r="D38" s="105">
        <f>'B原料'!D38+'P原料'!D38</f>
        <v>0</v>
      </c>
      <c r="E38" s="106">
        <f>'B原料'!E38+'P原料'!E38</f>
        <v>0</v>
      </c>
      <c r="F38" s="106">
        <f>'B原料'!F38+'P原料'!F38</f>
        <v>0</v>
      </c>
      <c r="G38" s="106">
        <f>'B原料'!G38+'P原料'!G38</f>
        <v>0</v>
      </c>
      <c r="H38" s="106">
        <f>'B原料'!H38+'P原料'!H38</f>
        <v>0</v>
      </c>
      <c r="I38" s="107">
        <f>'B原料'!I38+'P原料'!I38</f>
        <v>0</v>
      </c>
      <c r="J38" s="52">
        <f>SUM(D38:I38)</f>
        <v>0</v>
      </c>
      <c r="K38" s="105">
        <f>'B原料'!K38+'P原料'!K38</f>
        <v>0</v>
      </c>
      <c r="L38" s="106">
        <f>'B原料'!L38+'P原料'!L38</f>
        <v>0</v>
      </c>
      <c r="M38" s="106">
        <f>'B原料'!M38+'P原料'!M38</f>
        <v>0</v>
      </c>
      <c r="N38" s="106">
        <f>'B原料'!N38+'P原料'!N38</f>
        <v>0</v>
      </c>
      <c r="O38" s="106">
        <f>'B原料'!O38+'P原料'!O38</f>
        <v>1470</v>
      </c>
      <c r="P38" s="107">
        <f>'B原料'!P38+'P原料'!P38</f>
        <v>0</v>
      </c>
      <c r="Q38" s="52">
        <f>SUM(K38:P38)</f>
        <v>1470</v>
      </c>
      <c r="R38" s="53">
        <f>Q38+J38</f>
        <v>1470</v>
      </c>
      <c r="S38" s="45"/>
    </row>
    <row r="39" spans="1:19" s="46" customFormat="1" ht="13.5" customHeight="1">
      <c r="A39" s="143"/>
      <c r="B39" s="47" t="s">
        <v>28</v>
      </c>
      <c r="C39" s="48" t="s">
        <v>5</v>
      </c>
      <c r="D39" s="105">
        <f>'B原料'!D39+'P原料'!D39</f>
        <v>0</v>
      </c>
      <c r="E39" s="106">
        <f>'B原料'!E39+'P原料'!E39</f>
        <v>0</v>
      </c>
      <c r="F39" s="106">
        <f>'B原料'!F39+'P原料'!F39</f>
        <v>0</v>
      </c>
      <c r="G39" s="106">
        <f>'B原料'!G39+'P原料'!G39</f>
        <v>0</v>
      </c>
      <c r="H39" s="106">
        <f>'B原料'!H39+'P原料'!H39</f>
        <v>0</v>
      </c>
      <c r="I39" s="107">
        <f>'B原料'!I39+'P原料'!I39</f>
        <v>0</v>
      </c>
      <c r="J39" s="52">
        <f>SUM(D39:I39)</f>
        <v>0</v>
      </c>
      <c r="K39" s="105">
        <f>'B原料'!K39+'P原料'!K39</f>
        <v>0</v>
      </c>
      <c r="L39" s="106">
        <f>'B原料'!L39+'P原料'!L39</f>
        <v>0</v>
      </c>
      <c r="M39" s="106">
        <f>'B原料'!M39+'P原料'!M39</f>
        <v>0</v>
      </c>
      <c r="N39" s="106">
        <f>'B原料'!N39+'P原料'!N39</f>
        <v>0</v>
      </c>
      <c r="O39" s="106">
        <f>'B原料'!O39+'P原料'!O39</f>
        <v>62070</v>
      </c>
      <c r="P39" s="107">
        <f>'B原料'!P39+'P原料'!P39</f>
        <v>0</v>
      </c>
      <c r="Q39" s="52">
        <f>SUM(K39:P39)</f>
        <v>62070</v>
      </c>
      <c r="R39" s="53">
        <f>Q39+J39</f>
        <v>62070</v>
      </c>
      <c r="S39" s="45"/>
    </row>
    <row r="40" spans="1:19" s="46" customFormat="1" ht="12.75" customHeight="1" thickBot="1">
      <c r="A40" s="144"/>
      <c r="B40" s="20" t="s">
        <v>30</v>
      </c>
      <c r="C40" s="55" t="s">
        <v>6</v>
      </c>
      <c r="D40" s="65">
        <f aca="true" t="shared" si="11" ref="D40:R40">IF(D38=0,"",(D39/D38)*1000)</f>
      </c>
      <c r="E40" s="56">
        <f t="shared" si="11"/>
      </c>
      <c r="F40" s="56">
        <f t="shared" si="11"/>
      </c>
      <c r="G40" s="56">
        <f t="shared" si="11"/>
      </c>
      <c r="H40" s="56">
        <f t="shared" si="11"/>
      </c>
      <c r="I40" s="57">
        <f t="shared" si="11"/>
      </c>
      <c r="J40" s="58">
        <f t="shared" si="11"/>
      </c>
      <c r="K40" s="57">
        <f t="shared" si="11"/>
      </c>
      <c r="L40" s="56">
        <f t="shared" si="11"/>
      </c>
      <c r="M40" s="56">
        <f t="shared" si="11"/>
      </c>
      <c r="N40" s="56">
        <f t="shared" si="11"/>
      </c>
      <c r="O40" s="56">
        <f t="shared" si="11"/>
        <v>42224.489795918365</v>
      </c>
      <c r="P40" s="57">
        <f t="shared" si="11"/>
      </c>
      <c r="Q40" s="58">
        <f t="shared" si="11"/>
        <v>42224.489795918365</v>
      </c>
      <c r="R40" s="59">
        <f t="shared" si="11"/>
        <v>42224.489795918365</v>
      </c>
      <c r="S40" s="45"/>
    </row>
    <row r="41" spans="1:19" s="46" customFormat="1" ht="18" customHeight="1">
      <c r="A41" s="142" t="s">
        <v>7</v>
      </c>
      <c r="B41" s="47" t="s">
        <v>26</v>
      </c>
      <c r="C41" s="48" t="s">
        <v>4</v>
      </c>
      <c r="D41" s="105">
        <f>'B原料'!D41+'P原料'!D41</f>
        <v>38312</v>
      </c>
      <c r="E41" s="106">
        <f>'B原料'!E41+'P原料'!E41</f>
        <v>21211</v>
      </c>
      <c r="F41" s="106">
        <f>'B原料'!F41+'P原料'!F41</f>
        <v>0</v>
      </c>
      <c r="G41" s="106">
        <f>'B原料'!G41+'P原料'!G41</f>
        <v>0</v>
      </c>
      <c r="H41" s="106">
        <f>'B原料'!H41+'P原料'!H41</f>
        <v>17131</v>
      </c>
      <c r="I41" s="107">
        <f>'B原料'!I41+'P原料'!I41</f>
        <v>0</v>
      </c>
      <c r="J41" s="108">
        <f>'B原料'!J41</f>
        <v>76654</v>
      </c>
      <c r="K41" s="105">
        <f>'B原料'!K41+'P原料'!K41</f>
        <v>12762</v>
      </c>
      <c r="L41" s="106">
        <f>'B原料'!L41+'P原料'!L41</f>
        <v>28886</v>
      </c>
      <c r="M41" s="106">
        <f>'B原料'!M41+'P原料'!M41</f>
        <v>14661</v>
      </c>
      <c r="N41" s="106">
        <f>'B原料'!N41+'P原料'!N41</f>
        <v>29322</v>
      </c>
      <c r="O41" s="106">
        <f>'B原料'!O41+'P原料'!O41</f>
        <v>10465</v>
      </c>
      <c r="P41" s="107">
        <f>'B原料'!P41+'P原料'!P41</f>
        <v>4500</v>
      </c>
      <c r="Q41" s="108">
        <f>'B原料'!Q41+'P原料'!Q41</f>
        <v>100596</v>
      </c>
      <c r="R41" s="109">
        <f>J41+Q41</f>
        <v>177250</v>
      </c>
      <c r="S41" s="45"/>
    </row>
    <row r="42" spans="1:19" s="46" customFormat="1" ht="18" customHeight="1">
      <c r="A42" s="143"/>
      <c r="B42" s="47" t="s">
        <v>28</v>
      </c>
      <c r="C42" s="48" t="s">
        <v>5</v>
      </c>
      <c r="D42" s="105">
        <f>'B原料'!D42+'P原料'!D42</f>
        <v>1228832</v>
      </c>
      <c r="E42" s="106">
        <f>'B原料'!E42+'P原料'!E42</f>
        <v>768511</v>
      </c>
      <c r="F42" s="106">
        <f>'B原料'!F42+'P原料'!F42</f>
        <v>0</v>
      </c>
      <c r="G42" s="106">
        <f>'B原料'!G42+'P原料'!G42</f>
        <v>0</v>
      </c>
      <c r="H42" s="106">
        <f>'B原料'!H42+'P原料'!H42</f>
        <v>684891</v>
      </c>
      <c r="I42" s="107">
        <f>'B原料'!I42+'P原料'!I42</f>
        <v>0</v>
      </c>
      <c r="J42" s="108">
        <f>'B原料'!J42</f>
        <v>2682234</v>
      </c>
      <c r="K42" s="105">
        <f>'B原料'!K42+'P原料'!K42</f>
        <v>543511</v>
      </c>
      <c r="L42" s="106">
        <f>'B原料'!L42+'P原料'!L42</f>
        <v>1098321</v>
      </c>
      <c r="M42" s="106">
        <f>'B原料'!M42+'P原料'!M42</f>
        <v>736245</v>
      </c>
      <c r="N42" s="133">
        <f>'B原料'!N42+'P原料'!N42</f>
        <v>1333329</v>
      </c>
      <c r="O42" s="106">
        <f>'B原料'!O42+'P原料'!O42</f>
        <v>465143</v>
      </c>
      <c r="P42" s="107">
        <f>'B原料'!P42+'P原料'!P42</f>
        <v>188874</v>
      </c>
      <c r="Q42" s="108">
        <f>'B原料'!Q42+'P原料'!Q42</f>
        <v>4365423</v>
      </c>
      <c r="R42" s="134">
        <f>J42+Q42</f>
        <v>7047657</v>
      </c>
      <c r="S42" s="45"/>
    </row>
    <row r="43" spans="1:19" s="46" customFormat="1" ht="18" customHeight="1" thickBot="1">
      <c r="A43" s="145"/>
      <c r="B43" s="20" t="s">
        <v>30</v>
      </c>
      <c r="C43" s="55" t="s">
        <v>6</v>
      </c>
      <c r="D43" s="65">
        <f aca="true" t="shared" si="12" ref="D43:R43">IF(D41=0,"",(D42/D41)*1000)</f>
        <v>32074.33702234287</v>
      </c>
      <c r="E43" s="56">
        <f t="shared" si="12"/>
        <v>36231.71939088209</v>
      </c>
      <c r="F43" s="56">
        <f t="shared" si="12"/>
      </c>
      <c r="G43" s="56">
        <f t="shared" si="12"/>
      </c>
      <c r="H43" s="56">
        <f t="shared" si="12"/>
        <v>39979.62757573989</v>
      </c>
      <c r="I43" s="57">
        <f t="shared" si="12"/>
      </c>
      <c r="J43" s="58">
        <f t="shared" si="12"/>
        <v>34991.44206434106</v>
      </c>
      <c r="K43" s="57">
        <f t="shared" si="12"/>
        <v>42588.230684845636</v>
      </c>
      <c r="L43" s="56">
        <f t="shared" si="12"/>
        <v>38022.60610676452</v>
      </c>
      <c r="M43" s="56">
        <f t="shared" si="12"/>
        <v>50217.925107427865</v>
      </c>
      <c r="N43" s="130">
        <f t="shared" si="12"/>
        <v>45471.9664415797</v>
      </c>
      <c r="O43" s="56">
        <f t="shared" si="12"/>
        <v>44447.49163879599</v>
      </c>
      <c r="P43" s="57">
        <f t="shared" si="12"/>
        <v>41972</v>
      </c>
      <c r="Q43" s="58">
        <f t="shared" si="12"/>
        <v>43395.59227007038</v>
      </c>
      <c r="R43" s="135">
        <f t="shared" si="12"/>
        <v>39761.11142454161</v>
      </c>
      <c r="S43" s="45"/>
    </row>
    <row r="44" spans="1:19" s="46" customFormat="1" ht="24" customHeight="1" thickBot="1">
      <c r="A44" s="146" t="s">
        <v>23</v>
      </c>
      <c r="B44" s="147"/>
      <c r="C44" s="148"/>
      <c r="D44" s="74">
        <f>'総合計'!D44</f>
        <v>106.25</v>
      </c>
      <c r="E44" s="64">
        <f>'総合計'!E44</f>
        <v>110.39</v>
      </c>
      <c r="F44" s="64">
        <f>'総合計'!F44</f>
        <v>111.1</v>
      </c>
      <c r="G44" s="64">
        <f>'総合計'!G44</f>
        <v>108.75</v>
      </c>
      <c r="H44" s="64">
        <f>'総合計'!H44</f>
        <v>110.45</v>
      </c>
      <c r="I44" s="63">
        <f>'総合計'!I44</f>
        <v>109.73</v>
      </c>
      <c r="J44" s="62">
        <v>109.55</v>
      </c>
      <c r="K44" s="63">
        <f>'総合計'!K44</f>
        <v>110.29</v>
      </c>
      <c r="L44" s="64">
        <f>'総合計'!L44</f>
        <v>106.67</v>
      </c>
      <c r="M44" s="64">
        <f>'総合計'!M44</f>
        <v>103.64</v>
      </c>
      <c r="N44" s="64">
        <f>'総合計'!N44</f>
        <v>103.66</v>
      </c>
      <c r="O44" s="64">
        <f>'総合計'!O44</f>
        <v>103.83</v>
      </c>
      <c r="P44" s="63">
        <f>'総合計'!P44</f>
        <v>104.83</v>
      </c>
      <c r="Q44" s="89">
        <v>105.35</v>
      </c>
      <c r="R44" s="84">
        <v>107.34</v>
      </c>
      <c r="S44" s="45"/>
    </row>
    <row r="45" spans="1:18" ht="15.75" customHeight="1">
      <c r="A45" s="113"/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1"/>
    </row>
  </sheetData>
  <mergeCells count="15">
    <mergeCell ref="D2:P2"/>
    <mergeCell ref="A26:A28"/>
    <mergeCell ref="A5:A7"/>
    <mergeCell ref="A8:A10"/>
    <mergeCell ref="A11:A13"/>
    <mergeCell ref="A14:A16"/>
    <mergeCell ref="A17:A19"/>
    <mergeCell ref="A20:A22"/>
    <mergeCell ref="A23:A25"/>
    <mergeCell ref="A41:A43"/>
    <mergeCell ref="A44:C44"/>
    <mergeCell ref="A29:A31"/>
    <mergeCell ref="A32:A34"/>
    <mergeCell ref="A35:A37"/>
    <mergeCell ref="A38:A40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2" r:id="rId1"/>
  <headerFooter alignWithMargins="0">
    <oddFooter>&amp;C&amp;20 -9-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 日本LPガス協会</cp:lastModifiedBy>
  <cp:lastPrinted>2005-04-27T01:38:37Z</cp:lastPrinted>
  <dcterms:created xsi:type="dcterms:W3CDTF">1998-08-05T13:54:29Z</dcterms:created>
  <dcterms:modified xsi:type="dcterms:W3CDTF">2006-03-17T04:13:02Z</dcterms:modified>
  <cp:category/>
  <cp:version/>
  <cp:contentType/>
  <cp:contentStatus/>
</cp:coreProperties>
</file>